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2035" windowHeight="12330"/>
  </bookViews>
  <sheets>
    <sheet name="E1" sheetId="1" r:id="rId1"/>
    <sheet name="E2" sheetId="2" r:id="rId2"/>
    <sheet name="E3" sheetId="3" r:id="rId3"/>
    <sheet name="E4" sheetId="4" r:id="rId4"/>
    <sheet name="E5" sheetId="5" r:id="rId5"/>
  </sheets>
  <externalReferences>
    <externalReference r:id="rId6"/>
  </externalReferences>
  <definedNames>
    <definedName name="_AMO_UniqueIdentifier" hidden="1">"'99175e40-47d1-4ea7-8a0f-7e3a1fca2c5c'"</definedName>
  </definedNames>
  <calcPr calcId="144525"/>
</workbook>
</file>

<file path=xl/calcChain.xml><?xml version="1.0" encoding="utf-8"?>
<calcChain xmlns="http://schemas.openxmlformats.org/spreadsheetml/2006/main">
  <c r="F5" i="5" l="1"/>
  <c r="F9" i="5"/>
  <c r="F10" i="5"/>
  <c r="F11" i="5"/>
  <c r="F12" i="5"/>
  <c r="F13" i="5"/>
  <c r="G13" i="5"/>
  <c r="H13" i="5"/>
  <c r="I13" i="5"/>
  <c r="G6" i="4"/>
  <c r="G7" i="4"/>
  <c r="G8" i="4"/>
  <c r="G9" i="4"/>
  <c r="G10" i="4"/>
  <c r="G12" i="4"/>
  <c r="F13" i="4"/>
  <c r="G13" i="4"/>
  <c r="H13" i="4"/>
  <c r="I13" i="4"/>
  <c r="J13" i="4"/>
  <c r="G14" i="4"/>
  <c r="G15" i="4"/>
  <c r="G16" i="4" s="1"/>
  <c r="H16" i="4"/>
  <c r="I16" i="4"/>
  <c r="J16" i="4"/>
  <c r="N5" i="3"/>
  <c r="O5" i="3"/>
  <c r="N6" i="3"/>
  <c r="O6" i="3"/>
  <c r="N7" i="3"/>
  <c r="O7" i="3"/>
  <c r="N8" i="3"/>
  <c r="O8" i="3"/>
  <c r="N9" i="3"/>
  <c r="O9" i="3"/>
  <c r="N10" i="3"/>
  <c r="O10" i="3"/>
  <c r="N11" i="3"/>
  <c r="O11" i="3"/>
  <c r="O12" i="3"/>
  <c r="N13" i="3"/>
  <c r="O13" i="3"/>
  <c r="P13" i="3"/>
  <c r="Q13" i="3"/>
  <c r="C16" i="2"/>
  <c r="E16" i="2"/>
  <c r="F16" i="2" s="1"/>
  <c r="I16" i="2"/>
  <c r="J16" i="2" s="1"/>
  <c r="M16" i="2"/>
  <c r="N16" i="2" s="1"/>
  <c r="O16" i="2"/>
  <c r="P16" i="2" s="1"/>
  <c r="C17" i="2"/>
  <c r="E17" i="2"/>
  <c r="F17" i="2" s="1"/>
  <c r="I17" i="2"/>
  <c r="J17" i="2" s="1"/>
  <c r="M17" i="2"/>
  <c r="N17" i="2" s="1"/>
  <c r="O17" i="2"/>
  <c r="P17" i="2" s="1"/>
  <c r="C11" i="1"/>
  <c r="E11" i="1"/>
  <c r="G11" i="1"/>
  <c r="O11" i="1"/>
  <c r="S11" i="1"/>
  <c r="C12" i="1"/>
  <c r="E12" i="1"/>
  <c r="G12" i="1"/>
  <c r="O12" i="1"/>
  <c r="S12" i="1"/>
  <c r="C13" i="1"/>
  <c r="E13" i="1"/>
  <c r="G13" i="1"/>
  <c r="K13" i="1"/>
  <c r="O13" i="1"/>
  <c r="Q13" i="1"/>
  <c r="S13" i="1"/>
  <c r="C14" i="1"/>
  <c r="E14" i="1"/>
  <c r="F14" i="1"/>
  <c r="D14" i="1" s="1"/>
  <c r="G14" i="1"/>
  <c r="H14" i="1"/>
  <c r="K14" i="1"/>
  <c r="L14" i="1"/>
  <c r="M14" i="1"/>
  <c r="N14" i="1"/>
  <c r="O14" i="1"/>
  <c r="P14" i="1"/>
  <c r="Q14" i="1"/>
  <c r="R14" i="1"/>
  <c r="S14" i="1"/>
  <c r="T14" i="1"/>
  <c r="C16" i="1"/>
  <c r="D16" i="1"/>
  <c r="E16" i="1"/>
  <c r="F16" i="1"/>
  <c r="G16" i="1"/>
  <c r="H16" i="1"/>
  <c r="K16" i="1"/>
  <c r="L16" i="1"/>
  <c r="M16" i="1"/>
  <c r="N16" i="1"/>
  <c r="O16" i="1"/>
  <c r="P16" i="1"/>
  <c r="Q16" i="1"/>
  <c r="R16" i="1"/>
  <c r="T16" i="1"/>
  <c r="C17" i="1"/>
  <c r="E17" i="1"/>
  <c r="F17" i="1" s="1"/>
  <c r="G17" i="1"/>
  <c r="H17" i="1" s="1"/>
  <c r="K17" i="1"/>
  <c r="L17" i="1" s="1"/>
  <c r="M17" i="1"/>
  <c r="N17" i="1" s="1"/>
  <c r="O17" i="1"/>
  <c r="P17" i="1" s="1"/>
  <c r="Q17" i="1"/>
  <c r="R17" i="1" s="1"/>
  <c r="T17" i="1"/>
  <c r="D17" i="1" l="1"/>
  <c r="D17" i="2"/>
  <c r="G17" i="2"/>
  <c r="H17" i="2" s="1"/>
  <c r="G16" i="2"/>
  <c r="H16" i="2" s="1"/>
  <c r="D16" i="2" s="1"/>
</calcChain>
</file>

<file path=xl/sharedStrings.xml><?xml version="1.0" encoding="utf-8"?>
<sst xmlns="http://schemas.openxmlformats.org/spreadsheetml/2006/main" count="107" uniqueCount="63">
  <si>
    <t>3. The Vailoa Wind Turbines started on September 2014</t>
  </si>
  <si>
    <t>2. Solar energy for Upolu and Savaii just established in February 2014</t>
  </si>
  <si>
    <t xml:space="preserve">   Prior to that power supply was from the Upolu production</t>
  </si>
  <si>
    <t>1. Apolima's solar power system was officially inaugurated in January but its output was not reported until 2009/10</t>
  </si>
  <si>
    <t>Source: Eletric Power Corporation (EPC)</t>
  </si>
  <si>
    <t>%</t>
  </si>
  <si>
    <t>MWh</t>
  </si>
  <si>
    <t>Solar</t>
  </si>
  <si>
    <r>
      <t xml:space="preserve">Solar </t>
    </r>
    <r>
      <rPr>
        <b/>
        <vertAlign val="superscript"/>
        <sz val="10"/>
        <color theme="1"/>
        <rFont val="Arial"/>
        <family val="2"/>
      </rPr>
      <t>2</t>
    </r>
  </si>
  <si>
    <t>Diesel</t>
  </si>
  <si>
    <r>
      <t>Wind</t>
    </r>
    <r>
      <rPr>
        <b/>
        <vertAlign val="superscript"/>
        <sz val="10"/>
        <color theme="1"/>
        <rFont val="Arial"/>
        <family val="2"/>
      </rPr>
      <t>3</t>
    </r>
  </si>
  <si>
    <t>Coconut</t>
  </si>
  <si>
    <t>Hydro</t>
  </si>
  <si>
    <t>Total</t>
  </si>
  <si>
    <t>Year</t>
  </si>
  <si>
    <r>
      <t>Apolima</t>
    </r>
    <r>
      <rPr>
        <b/>
        <vertAlign val="superscript"/>
        <sz val="10"/>
        <color theme="1"/>
        <rFont val="Arial"/>
        <family val="2"/>
      </rPr>
      <t>1</t>
    </r>
  </si>
  <si>
    <t>Savaii</t>
  </si>
  <si>
    <t>Upolu</t>
  </si>
  <si>
    <t>Samoa</t>
  </si>
  <si>
    <t xml:space="preserve">Table E1: Electricity Production by Area &amp; Sources 2008-2018 (MWh) </t>
  </si>
  <si>
    <t>Wind</t>
  </si>
  <si>
    <t xml:space="preserve">Solar </t>
  </si>
  <si>
    <t>Renewable Energy (RE)</t>
  </si>
  <si>
    <t>Total R.Energy</t>
  </si>
  <si>
    <t xml:space="preserve">Table E2 : Total Electricity Production by Sources 2008-2018 (MWh) </t>
  </si>
  <si>
    <r>
      <rPr>
        <b/>
        <vertAlign val="superscript"/>
        <sz val="9"/>
        <color theme="1"/>
        <rFont val="Arial"/>
        <family val="2"/>
      </rPr>
      <t>a</t>
    </r>
    <r>
      <rPr>
        <sz val="9"/>
        <color theme="1"/>
        <rFont val="Arial"/>
        <family val="2"/>
      </rPr>
      <t xml:space="preserve"> : New data for 2016</t>
    </r>
  </si>
  <si>
    <t xml:space="preserve">Source: Electric Power Corporation (EPC) </t>
  </si>
  <si>
    <t>TOTAL</t>
  </si>
  <si>
    <r>
      <t>Street lights</t>
    </r>
    <r>
      <rPr>
        <b/>
        <vertAlign val="superscript"/>
        <sz val="10"/>
        <color theme="1"/>
        <rFont val="Arial"/>
        <family val="2"/>
      </rPr>
      <t>a</t>
    </r>
  </si>
  <si>
    <t>Schools</t>
  </si>
  <si>
    <t>Religions</t>
  </si>
  <si>
    <t>Industrial</t>
  </si>
  <si>
    <t>Hotels</t>
  </si>
  <si>
    <t>Gov't Dept.</t>
  </si>
  <si>
    <t>Commercial</t>
  </si>
  <si>
    <t>Domestic</t>
  </si>
  <si>
    <t>Table E3 : EPC Electricity Sales, 2004-2018 (MWh)</t>
  </si>
  <si>
    <t xml:space="preserve">     from the solar energy at Race Course and Independent Power Producer (IPP).</t>
  </si>
  <si>
    <t xml:space="preserve">1. These new sources were all started within the financial year 14/15.  The siginificant increase arise </t>
  </si>
  <si>
    <t>Note: Solar energy for Upolu and Savaii just established in February 2014</t>
  </si>
  <si>
    <t>Source: Electric Power Corporation (EPC)</t>
  </si>
  <si>
    <t>Total Solar and Wind</t>
  </si>
  <si>
    <t>Apolima PV</t>
  </si>
  <si>
    <t>Total Upolu</t>
  </si>
  <si>
    <r>
      <t>Tatal IPP Solar</t>
    </r>
    <r>
      <rPr>
        <vertAlign val="superscript"/>
        <sz val="10"/>
        <color theme="1"/>
        <rFont val="Arial"/>
        <family val="2"/>
      </rPr>
      <t>1</t>
    </r>
  </si>
  <si>
    <t>Mapuifagalele</t>
  </si>
  <si>
    <r>
      <t>EPC Race Course</t>
    </r>
    <r>
      <rPr>
        <vertAlign val="superscript"/>
        <sz val="10"/>
        <color theme="1"/>
        <rFont val="Arial"/>
        <family val="2"/>
      </rPr>
      <t>1</t>
    </r>
  </si>
  <si>
    <t xml:space="preserve">GYM 3 </t>
  </si>
  <si>
    <t xml:space="preserve">Vaitele PV </t>
  </si>
  <si>
    <t>Tanugamanono</t>
  </si>
  <si>
    <r>
      <t>Vailoa Wind Turbines</t>
    </r>
    <r>
      <rPr>
        <vertAlign val="superscript"/>
        <sz val="10"/>
        <color theme="1"/>
        <rFont val="Arial"/>
        <family val="2"/>
      </rPr>
      <t>1</t>
    </r>
  </si>
  <si>
    <t>Solar / Wind Stations</t>
  </si>
  <si>
    <t>Table E4: Electricity Production from Renewable Energy:Solar &amp; Wind (MWh)</t>
  </si>
  <si>
    <t>Ta'elefaga #2</t>
  </si>
  <si>
    <t xml:space="preserve">Ta'elefaga #1 </t>
  </si>
  <si>
    <t>Lalomauga #2</t>
  </si>
  <si>
    <t xml:space="preserve">Lalomauga #1 </t>
  </si>
  <si>
    <t xml:space="preserve">Fale ole Fee </t>
  </si>
  <si>
    <t>Samasoni #2</t>
  </si>
  <si>
    <t xml:space="preserve">Samasoni #1 </t>
  </si>
  <si>
    <t xml:space="preserve">Alaoa </t>
  </si>
  <si>
    <t>Hydro Stations</t>
  </si>
  <si>
    <t>Table E5: Electricity Production from Renewable Energy from Hydro (MWh)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</si>
</sst>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_(* #,##0.0_);_(* \(#,##0.0\);_(* &quot;-&quot;??_);_(@_)"/>
    <numFmt numFmtId="167" formatCode="0.0%"/>
    <numFmt numFmtId="168" formatCode="_(* #,##0_);_(* \(#,##0\);_(* &quot;-&quot;??_);_(@_)"/>
    <numFmt numFmtId="169" formatCode="_-* #,##0.00_-;\-* #,##0.00_-;_-* &quot;-&quot;??_-;_-@_-"/>
    <numFmt numFmtId="170" formatCode="_(* #,##0.0_);_(* \(#,##0.0\);_(* &quot;-&quot;?_);_(@_)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 Narrow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Bookman Old Style"/>
      <family val="1"/>
    </font>
    <font>
      <sz val="11"/>
      <color theme="1"/>
      <name val="Calibri"/>
      <family val="3"/>
      <charset val="128"/>
      <scheme val="minor"/>
    </font>
    <font>
      <b/>
      <sz val="11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10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0"/>
      <color theme="1"/>
      <name val="Arial"/>
      <family val="2"/>
    </font>
    <font>
      <vertAlign val="superscript"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169" fontId="12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Fill="1" applyAlignment="1">
      <alignment vertical="center"/>
    </xf>
    <xf numFmtId="43" fontId="3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0" fontId="4" fillId="0" borderId="0" xfId="2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43" fontId="4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5" fillId="0" borderId="0" xfId="2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4" fontId="5" fillId="0" borderId="0" xfId="2" applyNumberFormat="1" applyFont="1" applyFill="1" applyBorder="1" applyAlignment="1">
      <alignment horizontal="right" vertical="center"/>
    </xf>
    <xf numFmtId="3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 applyProtection="1">
      <alignment horizontal="right" vertical="center"/>
    </xf>
    <xf numFmtId="165" fontId="5" fillId="0" borderId="0" xfId="2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3" fontId="6" fillId="0" borderId="0" xfId="2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10" fontId="5" fillId="2" borderId="1" xfId="2" applyNumberFormat="1" applyFont="1" applyFill="1" applyBorder="1" applyAlignment="1">
      <alignment horizontal="right" vertical="center"/>
    </xf>
    <xf numFmtId="166" fontId="5" fillId="2" borderId="1" xfId="1" applyNumberFormat="1" applyFont="1" applyFill="1" applyBorder="1" applyAlignment="1">
      <alignment horizontal="right" vertical="center"/>
    </xf>
    <xf numFmtId="167" fontId="5" fillId="2" borderId="2" xfId="2" applyNumberFormat="1" applyFont="1" applyFill="1" applyBorder="1" applyAlignment="1">
      <alignment horizontal="right" vertical="center"/>
    </xf>
    <xf numFmtId="9" fontId="5" fillId="2" borderId="1" xfId="2" applyFont="1" applyFill="1" applyBorder="1" applyAlignment="1">
      <alignment horizontal="right" vertical="center"/>
    </xf>
    <xf numFmtId="166" fontId="5" fillId="2" borderId="3" xfId="1" applyNumberFormat="1" applyFont="1" applyFill="1" applyBorder="1" applyAlignment="1">
      <alignment horizontal="right" vertical="center"/>
    </xf>
    <xf numFmtId="167" fontId="5" fillId="2" borderId="1" xfId="2" applyNumberFormat="1" applyFont="1" applyFill="1" applyBorder="1" applyAlignment="1">
      <alignment horizontal="right" vertical="center"/>
    </xf>
    <xf numFmtId="9" fontId="6" fillId="2" borderId="1" xfId="2" applyFont="1" applyFill="1" applyBorder="1" applyAlignment="1">
      <alignment horizontal="right" vertical="center"/>
    </xf>
    <xf numFmtId="165" fontId="6" fillId="2" borderId="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0" fontId="5" fillId="2" borderId="0" xfId="2" applyNumberFormat="1" applyFont="1" applyFill="1" applyBorder="1" applyAlignment="1">
      <alignment horizontal="right" vertical="center"/>
    </xf>
    <xf numFmtId="166" fontId="5" fillId="2" borderId="4" xfId="1" applyNumberFormat="1" applyFont="1" applyFill="1" applyBorder="1" applyAlignment="1">
      <alignment horizontal="right" vertical="center"/>
    </xf>
    <xf numFmtId="167" fontId="5" fillId="2" borderId="0" xfId="2" applyNumberFormat="1" applyFont="1" applyFill="1" applyBorder="1" applyAlignment="1">
      <alignment horizontal="right" vertical="center"/>
    </xf>
    <xf numFmtId="166" fontId="5" fillId="2" borderId="0" xfId="1" applyNumberFormat="1" applyFont="1" applyFill="1" applyBorder="1" applyAlignment="1">
      <alignment horizontal="right" vertical="center"/>
    </xf>
    <xf numFmtId="9" fontId="5" fillId="2" borderId="0" xfId="2" applyFont="1" applyFill="1" applyBorder="1" applyAlignment="1">
      <alignment horizontal="right" vertical="center"/>
    </xf>
    <xf numFmtId="9" fontId="6" fillId="2" borderId="0" xfId="2" applyFont="1" applyFill="1" applyBorder="1" applyAlignment="1">
      <alignment horizontal="right" vertical="center"/>
    </xf>
    <xf numFmtId="165" fontId="6" fillId="2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5" fillId="0" borderId="5" xfId="1" applyNumberFormat="1" applyFont="1" applyFill="1" applyBorder="1" applyAlignment="1">
      <alignment horizontal="right" vertical="center"/>
    </xf>
    <xf numFmtId="166" fontId="5" fillId="0" borderId="4" xfId="1" applyNumberFormat="1" applyFont="1" applyFill="1" applyBorder="1" applyAlignment="1">
      <alignment horizontal="right" vertical="center"/>
    </xf>
    <xf numFmtId="168" fontId="6" fillId="0" borderId="0" xfId="1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 applyProtection="1">
      <alignment horizontal="right" vertical="center"/>
    </xf>
    <xf numFmtId="166" fontId="5" fillId="0" borderId="6" xfId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6" xfId="1" applyNumberFormat="1" applyFont="1" applyFill="1" applyBorder="1" applyAlignment="1" applyProtection="1">
      <alignment horizontal="right" vertical="center"/>
    </xf>
    <xf numFmtId="166" fontId="5" fillId="0" borderId="8" xfId="1" applyNumberFormat="1" applyFont="1" applyFill="1" applyBorder="1" applyAlignment="1">
      <alignment horizontal="right" vertical="center"/>
    </xf>
    <xf numFmtId="3" fontId="6" fillId="0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left" vertical="center"/>
    </xf>
    <xf numFmtId="9" fontId="8" fillId="0" borderId="0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9" fontId="8" fillId="0" borderId="5" xfId="2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right" vertical="center"/>
    </xf>
    <xf numFmtId="0" fontId="2" fillId="0" borderId="0" xfId="0" applyFont="1" applyBorder="1"/>
    <xf numFmtId="168" fontId="2" fillId="0" borderId="0" xfId="1" applyNumberFormat="1" applyFont="1" applyBorder="1"/>
    <xf numFmtId="0" fontId="2" fillId="0" borderId="0" xfId="0" applyFont="1" applyBorder="1" applyAlignment="1">
      <alignment horizontal="left"/>
    </xf>
    <xf numFmtId="167" fontId="4" fillId="2" borderId="1" xfId="2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9" fontId="10" fillId="2" borderId="1" xfId="2" applyFont="1" applyFill="1" applyBorder="1" applyAlignment="1">
      <alignment horizontal="right" vertical="center"/>
    </xf>
    <xf numFmtId="166" fontId="10" fillId="2" borderId="1" xfId="1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67" fontId="4" fillId="2" borderId="0" xfId="2" applyNumberFormat="1" applyFont="1" applyFill="1" applyBorder="1" applyAlignment="1">
      <alignment horizontal="right" vertical="center"/>
    </xf>
    <xf numFmtId="166" fontId="4" fillId="2" borderId="0" xfId="1" applyNumberFormat="1" applyFont="1" applyFill="1" applyBorder="1" applyAlignment="1">
      <alignment horizontal="right" vertical="center"/>
    </xf>
    <xf numFmtId="9" fontId="10" fillId="2" borderId="0" xfId="2" applyFont="1" applyFill="1" applyBorder="1" applyAlignment="1">
      <alignment horizontal="right" vertical="center"/>
    </xf>
    <xf numFmtId="166" fontId="10" fillId="2" borderId="0" xfId="1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 vertical="center"/>
    </xf>
    <xf numFmtId="166" fontId="4" fillId="0" borderId="0" xfId="1" applyNumberFormat="1" applyFont="1" applyFill="1" applyBorder="1" applyAlignment="1">
      <alignment horizontal="right" vertical="center"/>
    </xf>
    <xf numFmtId="166" fontId="10" fillId="0" borderId="0" xfId="1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166" fontId="4" fillId="0" borderId="0" xfId="1" applyNumberFormat="1" applyFont="1" applyAlignment="1">
      <alignment horizontal="right" vertical="center"/>
    </xf>
    <xf numFmtId="166" fontId="10" fillId="0" borderId="0" xfId="1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/>
    </xf>
    <xf numFmtId="0" fontId="8" fillId="0" borderId="9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166" fontId="8" fillId="2" borderId="9" xfId="1" applyNumberFormat="1" applyFont="1" applyFill="1" applyBorder="1" applyAlignment="1">
      <alignment vertical="center"/>
    </xf>
    <xf numFmtId="166" fontId="8" fillId="0" borderId="9" xfId="1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166" fontId="4" fillId="0" borderId="0" xfId="1" applyNumberFormat="1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vertical="center"/>
    </xf>
    <xf numFmtId="41" fontId="16" fillId="0" borderId="0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8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43" fontId="2" fillId="0" borderId="0" xfId="0" applyNumberFormat="1" applyFont="1" applyBorder="1"/>
    <xf numFmtId="3" fontId="4" fillId="0" borderId="0" xfId="0" applyNumberFormat="1" applyFont="1" applyBorder="1"/>
    <xf numFmtId="166" fontId="8" fillId="0" borderId="0" xfId="1" applyNumberFormat="1" applyFont="1" applyBorder="1"/>
    <xf numFmtId="166" fontId="8" fillId="0" borderId="9" xfId="1" applyNumberFormat="1" applyFont="1" applyFill="1" applyBorder="1" applyAlignment="1">
      <alignment horizontal="right" vertical="center"/>
    </xf>
    <xf numFmtId="166" fontId="8" fillId="0" borderId="9" xfId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166" fontId="4" fillId="0" borderId="0" xfId="1" applyNumberFormat="1" applyFont="1" applyFill="1" applyBorder="1" applyAlignment="1">
      <alignment horizontal="right"/>
    </xf>
    <xf numFmtId="166" fontId="4" fillId="0" borderId="0" xfId="1" applyNumberFormat="1" applyFont="1" applyBorder="1" applyAlignment="1">
      <alignment horizontal="right"/>
    </xf>
    <xf numFmtId="0" fontId="18" fillId="0" borderId="0" xfId="0" applyFont="1" applyBorder="1"/>
    <xf numFmtId="0" fontId="16" fillId="0" borderId="0" xfId="0" applyFont="1" applyBorder="1"/>
    <xf numFmtId="166" fontId="20" fillId="0" borderId="0" xfId="1" applyNumberFormat="1" applyFont="1" applyFill="1" applyBorder="1" applyAlignment="1">
      <alignment horizontal="right"/>
    </xf>
    <xf numFmtId="166" fontId="20" fillId="0" borderId="0" xfId="1" applyNumberFormat="1" applyFont="1" applyBorder="1" applyAlignment="1">
      <alignment horizontal="right"/>
    </xf>
    <xf numFmtId="166" fontId="19" fillId="0" borderId="0" xfId="1" applyNumberFormat="1" applyFont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18" fillId="0" borderId="0" xfId="0" applyFont="1" applyFill="1" applyBorder="1"/>
    <xf numFmtId="166" fontId="4" fillId="0" borderId="0" xfId="5" applyNumberFormat="1" applyFont="1" applyFill="1" applyBorder="1"/>
    <xf numFmtId="0" fontId="21" fillId="0" borderId="0" xfId="0" applyFont="1" applyBorder="1"/>
    <xf numFmtId="0" fontId="8" fillId="0" borderId="9" xfId="0" applyFont="1" applyBorder="1" applyAlignment="1">
      <alignment horizontal="center" vertical="center"/>
    </xf>
    <xf numFmtId="170" fontId="2" fillId="0" borderId="0" xfId="0" applyNumberFormat="1" applyFont="1"/>
    <xf numFmtId="166" fontId="4" fillId="0" borderId="0" xfId="1" applyNumberFormat="1" applyFont="1" applyFill="1" applyAlignment="1">
      <alignment horizontal="right" vertical="center"/>
    </xf>
    <xf numFmtId="0" fontId="18" fillId="0" borderId="0" xfId="0" applyFont="1" applyAlignment="1">
      <alignment vertical="center"/>
    </xf>
    <xf numFmtId="166" fontId="4" fillId="0" borderId="0" xfId="1" applyNumberFormat="1" applyFont="1" applyFill="1" applyAlignment="1">
      <alignment vertical="center"/>
    </xf>
    <xf numFmtId="0" fontId="19" fillId="0" borderId="0" xfId="0" applyFont="1" applyAlignment="1">
      <alignment horizontal="right"/>
    </xf>
    <xf numFmtId="0" fontId="8" fillId="0" borderId="0" xfId="0" applyFont="1" applyAlignment="1">
      <alignment vertical="center"/>
    </xf>
  </cellXfs>
  <cellStyles count="20">
    <cellStyle name="Comma" xfId="1" builtinId="3"/>
    <cellStyle name="Comma [0] 2" xfId="3"/>
    <cellStyle name="Comma 2" xfId="4"/>
    <cellStyle name="Comma 2 10" xfId="5"/>
    <cellStyle name="Comma 2 2" xfId="6"/>
    <cellStyle name="Hyperlink 2" xfId="7"/>
    <cellStyle name="Normal" xfId="0" builtinId="0"/>
    <cellStyle name="Normal 11" xfId="8"/>
    <cellStyle name="Normal 12" xfId="9"/>
    <cellStyle name="Normal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18"/>
    <cellStyle name="通貨 [0.00] 2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usulu.reupena/Desktop/Environment%20Statistics/4SBS%20Web/MNRE/ENERGY_TABLES%20UPDATE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"/>
      <sheetName val="Natural Disasters"/>
      <sheetName val="E2"/>
      <sheetName val="E3"/>
      <sheetName val="E4"/>
      <sheetName val="E5"/>
    </sheetNames>
    <sheetDataSet>
      <sheetData sheetId="0">
        <row r="16">
          <cell r="C16">
            <v>154382.77299999999</v>
          </cell>
          <cell r="E16">
            <v>26425.902999999998</v>
          </cell>
          <cell r="G16">
            <v>93583.712</v>
          </cell>
          <cell r="K16">
            <v>19818.667000000001</v>
          </cell>
          <cell r="M16">
            <v>155.1</v>
          </cell>
          <cell r="O16">
            <v>14033.995999999999</v>
          </cell>
          <cell r="Q16">
            <v>355.065</v>
          </cell>
          <cell r="S16">
            <v>10.331</v>
          </cell>
        </row>
        <row r="17">
          <cell r="C17">
            <v>153520.70499999999</v>
          </cell>
          <cell r="E17">
            <v>42814.364999999998</v>
          </cell>
          <cell r="G17">
            <v>74949.66</v>
          </cell>
          <cell r="K17">
            <v>20790.487000000001</v>
          </cell>
          <cell r="M17">
            <v>134.12200000000001</v>
          </cell>
          <cell r="O17">
            <v>14526.32</v>
          </cell>
          <cell r="Q17">
            <v>295.85599999999999</v>
          </cell>
          <cell r="S17">
            <v>9.8960000000000008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2:T27"/>
  <sheetViews>
    <sheetView showGridLines="0" tabSelected="1" workbookViewId="0">
      <pane ySplit="6" topLeftCell="A7" activePane="bottomLeft" state="frozen"/>
      <selection activeCell="F29" sqref="F29"/>
      <selection pane="bottomLeft" activeCell="F29" sqref="F29"/>
    </sheetView>
  </sheetViews>
  <sheetFormatPr defaultRowHeight="14.25"/>
  <cols>
    <col min="1" max="1" width="2.85546875" style="1" customWidth="1"/>
    <col min="2" max="2" width="5.5703125" style="1" customWidth="1"/>
    <col min="3" max="3" width="11.28515625" style="1" customWidth="1"/>
    <col min="4" max="4" width="5.140625" style="1" customWidth="1"/>
    <col min="5" max="5" width="9" style="1" bestFit="1" customWidth="1"/>
    <col min="6" max="6" width="6.85546875" style="1" customWidth="1"/>
    <col min="7" max="7" width="9" style="1" bestFit="1" customWidth="1"/>
    <col min="8" max="8" width="6.85546875" style="1" customWidth="1"/>
    <col min="9" max="9" width="7.140625" style="1" customWidth="1"/>
    <col min="10" max="10" width="6.85546875" style="1" customWidth="1"/>
    <col min="11" max="11" width="9" style="1" bestFit="1" customWidth="1"/>
    <col min="12" max="12" width="6.85546875" style="1" customWidth="1"/>
    <col min="13" max="13" width="7.140625" style="1" customWidth="1"/>
    <col min="14" max="14" width="6.85546875" style="1" customWidth="1"/>
    <col min="15" max="15" width="9" style="1" bestFit="1" customWidth="1"/>
    <col min="16" max="16" width="6.85546875" style="1" customWidth="1"/>
    <col min="17" max="17" width="6.5703125" style="1" customWidth="1"/>
    <col min="18" max="18" width="8.7109375" style="1" bestFit="1" customWidth="1"/>
    <col min="19" max="19" width="7.5703125" style="1" customWidth="1"/>
    <col min="20" max="20" width="6.85546875" style="1" customWidth="1"/>
    <col min="21" max="21" width="9.140625" style="1"/>
    <col min="22" max="22" width="11.5703125" style="1" bestFit="1" customWidth="1"/>
    <col min="23" max="16384" width="9.140625" style="1"/>
  </cols>
  <sheetData>
    <row r="2" spans="2:20" s="1" customFormat="1" ht="21" customHeight="1">
      <c r="B2" s="70" t="s">
        <v>19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2:20" s="1" customFormat="1" ht="5.0999999999999996" customHeight="1">
      <c r="B3" s="7"/>
      <c r="C3" s="69"/>
      <c r="D3" s="69"/>
      <c r="E3" s="69"/>
      <c r="F3" s="69"/>
      <c r="G3" s="69"/>
      <c r="H3" s="69"/>
      <c r="I3" s="69"/>
      <c r="J3" s="69"/>
      <c r="K3" s="7"/>
      <c r="L3" s="7"/>
      <c r="M3" s="7"/>
      <c r="N3" s="7"/>
      <c r="O3" s="7"/>
      <c r="P3" s="7"/>
      <c r="Q3" s="7"/>
      <c r="R3" s="7"/>
      <c r="S3" s="7"/>
      <c r="T3" s="7"/>
    </row>
    <row r="4" spans="2:20" s="1" customFormat="1" ht="21" customHeight="1">
      <c r="B4" s="68"/>
      <c r="C4" s="65" t="s">
        <v>18</v>
      </c>
      <c r="D4" s="65"/>
      <c r="E4" s="67" t="s">
        <v>17</v>
      </c>
      <c r="F4" s="65"/>
      <c r="G4" s="65"/>
      <c r="H4" s="65"/>
      <c r="I4" s="65"/>
      <c r="J4" s="65"/>
      <c r="K4" s="65"/>
      <c r="L4" s="65"/>
      <c r="M4" s="65"/>
      <c r="N4" s="66"/>
      <c r="O4" s="67" t="s">
        <v>16</v>
      </c>
      <c r="P4" s="65"/>
      <c r="Q4" s="65"/>
      <c r="R4" s="66"/>
      <c r="S4" s="65" t="s">
        <v>15</v>
      </c>
      <c r="T4" s="65"/>
    </row>
    <row r="5" spans="2:20" s="1" customFormat="1" ht="21" customHeight="1">
      <c r="B5" s="56" t="s">
        <v>14</v>
      </c>
      <c r="C5" s="59" t="s">
        <v>13</v>
      </c>
      <c r="D5" s="59"/>
      <c r="E5" s="62" t="s">
        <v>12</v>
      </c>
      <c r="F5" s="61"/>
      <c r="G5" s="61" t="s">
        <v>9</v>
      </c>
      <c r="H5" s="61"/>
      <c r="I5" s="61" t="s">
        <v>11</v>
      </c>
      <c r="J5" s="61"/>
      <c r="K5" s="61" t="s">
        <v>8</v>
      </c>
      <c r="L5" s="61"/>
      <c r="M5" s="64" t="s">
        <v>10</v>
      </c>
      <c r="N5" s="63"/>
      <c r="O5" s="62" t="s">
        <v>9</v>
      </c>
      <c r="P5" s="61"/>
      <c r="Q5" s="61" t="s">
        <v>8</v>
      </c>
      <c r="R5" s="60"/>
      <c r="S5" s="59" t="s">
        <v>7</v>
      </c>
      <c r="T5" s="59"/>
    </row>
    <row r="6" spans="2:20" s="1" customFormat="1" ht="21" customHeight="1">
      <c r="B6" s="56"/>
      <c r="C6" s="56" t="s">
        <v>6</v>
      </c>
      <c r="D6" s="56" t="s">
        <v>5</v>
      </c>
      <c r="E6" s="58" t="s">
        <v>6</v>
      </c>
      <c r="F6" s="55" t="s">
        <v>5</v>
      </c>
      <c r="G6" s="56" t="s">
        <v>6</v>
      </c>
      <c r="H6" s="55" t="s">
        <v>5</v>
      </c>
      <c r="I6" s="56" t="s">
        <v>6</v>
      </c>
      <c r="J6" s="55" t="s">
        <v>5</v>
      </c>
      <c r="K6" s="56" t="s">
        <v>6</v>
      </c>
      <c r="L6" s="55" t="s">
        <v>5</v>
      </c>
      <c r="M6" s="56" t="s">
        <v>6</v>
      </c>
      <c r="N6" s="57" t="s">
        <v>5</v>
      </c>
      <c r="O6" s="58" t="s">
        <v>6</v>
      </c>
      <c r="P6" s="55" t="s">
        <v>5</v>
      </c>
      <c r="Q6" s="56" t="s">
        <v>6</v>
      </c>
      <c r="R6" s="57" t="s">
        <v>5</v>
      </c>
      <c r="S6" s="56" t="s">
        <v>6</v>
      </c>
      <c r="T6" s="55" t="s">
        <v>5</v>
      </c>
    </row>
    <row r="7" spans="2:20" s="1" customFormat="1" ht="18.95" customHeight="1">
      <c r="B7" s="54">
        <v>2008</v>
      </c>
      <c r="C7" s="53">
        <v>115523</v>
      </c>
      <c r="D7" s="52">
        <v>100</v>
      </c>
      <c r="E7" s="51">
        <v>49027</v>
      </c>
      <c r="F7" s="48">
        <v>42</v>
      </c>
      <c r="G7" s="48">
        <v>54898</v>
      </c>
      <c r="H7" s="48">
        <v>48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51">
        <v>11597</v>
      </c>
      <c r="P7" s="50">
        <v>10</v>
      </c>
      <c r="Q7" s="48">
        <v>0</v>
      </c>
      <c r="R7" s="49">
        <v>0</v>
      </c>
      <c r="S7" s="48">
        <v>0</v>
      </c>
      <c r="T7" s="48">
        <v>0</v>
      </c>
    </row>
    <row r="8" spans="2:20" s="1" customFormat="1" ht="18.95" customHeight="1">
      <c r="B8" s="41">
        <v>2009</v>
      </c>
      <c r="C8" s="46">
        <v>107874</v>
      </c>
      <c r="D8" s="21">
        <v>100</v>
      </c>
      <c r="E8" s="44">
        <v>38735</v>
      </c>
      <c r="F8" s="42">
        <v>36</v>
      </c>
      <c r="G8" s="42">
        <v>57620</v>
      </c>
      <c r="H8" s="42">
        <v>53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4">
        <v>11519</v>
      </c>
      <c r="P8" s="47">
        <v>11</v>
      </c>
      <c r="Q8" s="42">
        <v>0</v>
      </c>
      <c r="R8" s="43">
        <v>0</v>
      </c>
      <c r="S8" s="42">
        <v>0</v>
      </c>
      <c r="T8" s="42">
        <v>0</v>
      </c>
    </row>
    <row r="9" spans="2:20" s="1" customFormat="1" ht="18.95" customHeight="1">
      <c r="B9" s="41">
        <v>2010</v>
      </c>
      <c r="C9" s="46">
        <v>111354</v>
      </c>
      <c r="D9" s="21">
        <v>100</v>
      </c>
      <c r="E9" s="44">
        <v>47738</v>
      </c>
      <c r="F9" s="42">
        <v>43</v>
      </c>
      <c r="G9" s="42">
        <v>51663</v>
      </c>
      <c r="H9" s="42">
        <v>46</v>
      </c>
      <c r="I9" s="42">
        <v>156</v>
      </c>
      <c r="J9" s="42">
        <v>0.1</v>
      </c>
      <c r="K9" s="42">
        <v>0</v>
      </c>
      <c r="L9" s="42">
        <v>0</v>
      </c>
      <c r="M9" s="42">
        <v>0</v>
      </c>
      <c r="N9" s="42">
        <v>0</v>
      </c>
      <c r="O9" s="44">
        <v>11794</v>
      </c>
      <c r="P9" s="47">
        <v>11</v>
      </c>
      <c r="Q9" s="42">
        <v>0</v>
      </c>
      <c r="R9" s="43">
        <v>0</v>
      </c>
      <c r="S9" s="42">
        <v>3.5</v>
      </c>
      <c r="T9" s="42">
        <v>0</v>
      </c>
    </row>
    <row r="10" spans="2:20" s="1" customFormat="1" ht="18.95" customHeight="1">
      <c r="B10" s="41">
        <v>2011</v>
      </c>
      <c r="C10" s="46">
        <v>109030</v>
      </c>
      <c r="D10" s="21">
        <v>100</v>
      </c>
      <c r="E10" s="44">
        <v>35248</v>
      </c>
      <c r="F10" s="42">
        <v>32</v>
      </c>
      <c r="G10" s="42">
        <v>62709</v>
      </c>
      <c r="H10" s="42">
        <v>58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4">
        <v>11064</v>
      </c>
      <c r="P10" s="47">
        <v>10</v>
      </c>
      <c r="Q10" s="42">
        <v>0</v>
      </c>
      <c r="R10" s="43">
        <v>0</v>
      </c>
      <c r="S10" s="42">
        <v>7.8</v>
      </c>
      <c r="T10" s="42">
        <v>0</v>
      </c>
    </row>
    <row r="11" spans="2:20" s="1" customFormat="1" ht="18.95" customHeight="1">
      <c r="B11" s="41">
        <v>2012</v>
      </c>
      <c r="C11" s="46">
        <f>112226959/1000</f>
        <v>112226.959</v>
      </c>
      <c r="D11" s="21">
        <v>100</v>
      </c>
      <c r="E11" s="44">
        <f>36774774/1000</f>
        <v>36774.773999999998</v>
      </c>
      <c r="F11" s="42">
        <v>32.76</v>
      </c>
      <c r="G11" s="42">
        <f>64078915/1000</f>
        <v>64078.915000000001</v>
      </c>
      <c r="H11" s="42">
        <v>57.09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4">
        <f>11363214/1000</f>
        <v>11363.214</v>
      </c>
      <c r="P11" s="47">
        <v>10.130000000000001</v>
      </c>
      <c r="Q11" s="42">
        <v>0</v>
      </c>
      <c r="R11" s="43">
        <v>0</v>
      </c>
      <c r="S11" s="42">
        <f>10056/1000</f>
        <v>10.055999999999999</v>
      </c>
      <c r="T11" s="42">
        <v>8.0000000000000002E-3</v>
      </c>
    </row>
    <row r="12" spans="2:20" s="1" customFormat="1" ht="18.95" customHeight="1">
      <c r="B12" s="41">
        <v>2013</v>
      </c>
      <c r="C12" s="46">
        <f>112725311/1000</f>
        <v>112725.311</v>
      </c>
      <c r="D12" s="21">
        <v>100</v>
      </c>
      <c r="E12" s="44">
        <f>32376530/1000</f>
        <v>32376.53</v>
      </c>
      <c r="F12" s="42">
        <v>29</v>
      </c>
      <c r="G12" s="42">
        <f>68622449/1000</f>
        <v>68622.448999999993</v>
      </c>
      <c r="H12" s="42">
        <v>61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4">
        <f>11718044/1000</f>
        <v>11718.044</v>
      </c>
      <c r="P12" s="47">
        <v>10</v>
      </c>
      <c r="Q12" s="42">
        <v>0</v>
      </c>
      <c r="R12" s="43">
        <v>0</v>
      </c>
      <c r="S12" s="42">
        <f>8288/1000</f>
        <v>8.2880000000000003</v>
      </c>
      <c r="T12" s="42">
        <v>0.01</v>
      </c>
    </row>
    <row r="13" spans="2:20" s="1" customFormat="1" ht="18.95" customHeight="1">
      <c r="B13" s="41">
        <v>2014</v>
      </c>
      <c r="C13" s="46">
        <f>125016307.002166/1000</f>
        <v>125016.30700216601</v>
      </c>
      <c r="D13" s="45">
        <v>99.967999999999989</v>
      </c>
      <c r="E13" s="44">
        <f>29989133/1000</f>
        <v>29989.133000000002</v>
      </c>
      <c r="F13" s="42">
        <v>23.99</v>
      </c>
      <c r="G13" s="42">
        <f>83146948/1000</f>
        <v>83146.948000000004</v>
      </c>
      <c r="H13" s="42">
        <v>66.510000000000005</v>
      </c>
      <c r="I13" s="42">
        <v>0</v>
      </c>
      <c r="J13" s="42">
        <v>0</v>
      </c>
      <c r="K13" s="42">
        <f>258178.572588235/1000</f>
        <v>258.178572588235</v>
      </c>
      <c r="L13" s="42">
        <v>0.21</v>
      </c>
      <c r="M13" s="42">
        <v>0</v>
      </c>
      <c r="N13" s="42">
        <v>0</v>
      </c>
      <c r="O13" s="44">
        <f>11566589.5/1000</f>
        <v>11566.5895</v>
      </c>
      <c r="P13" s="47">
        <v>9.25</v>
      </c>
      <c r="Q13" s="42">
        <f>44636/1000</f>
        <v>44.636000000000003</v>
      </c>
      <c r="R13" s="43">
        <v>3.5999999999999997E-2</v>
      </c>
      <c r="S13" s="42">
        <f>10623.9295774648/1000</f>
        <v>10.6239295774648</v>
      </c>
      <c r="T13" s="42">
        <v>8.0000000000000002E-3</v>
      </c>
    </row>
    <row r="14" spans="2:20" s="1" customFormat="1" ht="18.95" customHeight="1">
      <c r="B14" s="41">
        <v>2015</v>
      </c>
      <c r="C14" s="46">
        <f>131280407/1000</f>
        <v>131280.40700000001</v>
      </c>
      <c r="D14" s="45">
        <f>SUM(F14,H14,L14,N14,P14,R14,T14)</f>
        <v>100</v>
      </c>
      <c r="E14" s="44">
        <f>30897622/1000</f>
        <v>30897.621999999999</v>
      </c>
      <c r="F14" s="42">
        <f>E14/$C$14*100</f>
        <v>23.535592786515355</v>
      </c>
      <c r="G14" s="42">
        <f>84769729/1000</f>
        <v>84769.729000000007</v>
      </c>
      <c r="H14" s="42">
        <f>G14/$C$14*100</f>
        <v>64.571500757154112</v>
      </c>
      <c r="I14" s="42">
        <v>0</v>
      </c>
      <c r="J14" s="42">
        <v>0</v>
      </c>
      <c r="K14" s="42">
        <f>3191735/1000</f>
        <v>3191.7350000000001</v>
      </c>
      <c r="L14" s="42">
        <f>K14/$C$14*100</f>
        <v>2.4312348452728365</v>
      </c>
      <c r="M14" s="42">
        <f>176200/1000</f>
        <v>176.2</v>
      </c>
      <c r="N14" s="42">
        <f>M14/$C$14*100</f>
        <v>0.13421652478575874</v>
      </c>
      <c r="O14" s="44">
        <f>12005917/1000</f>
        <v>12005.916999999999</v>
      </c>
      <c r="P14" s="42">
        <f>O14/$C$14*100</f>
        <v>9.1452466322716379</v>
      </c>
      <c r="Q14" s="42">
        <f>228090/1000</f>
        <v>228.09</v>
      </c>
      <c r="R14" s="43">
        <f>Q14/$C$14*100</f>
        <v>0.17374260577970327</v>
      </c>
      <c r="S14" s="42">
        <f>11114/1000</f>
        <v>11.114000000000001</v>
      </c>
      <c r="T14" s="42">
        <f>S14/$C$14*100</f>
        <v>8.4658482205954774E-3</v>
      </c>
    </row>
    <row r="15" spans="2:20" s="1" customFormat="1" ht="18.95" customHeight="1">
      <c r="B15" s="41">
        <v>2016</v>
      </c>
      <c r="C15" s="46">
        <v>149448.40940999999</v>
      </c>
      <c r="D15" s="45">
        <v>99.999999997769592</v>
      </c>
      <c r="E15" s="44">
        <v>32846.817999999999</v>
      </c>
      <c r="F15" s="42">
        <v>21.978700295088004</v>
      </c>
      <c r="G15" s="42">
        <v>87253.135999999999</v>
      </c>
      <c r="H15" s="42">
        <v>58.383449074140273</v>
      </c>
      <c r="I15" s="42">
        <v>0</v>
      </c>
      <c r="J15" s="42">
        <v>0</v>
      </c>
      <c r="K15" s="42">
        <v>15170.773406666667</v>
      </c>
      <c r="L15" s="42">
        <v>10.15117756459143</v>
      </c>
      <c r="M15" s="42">
        <v>202.54</v>
      </c>
      <c r="N15" s="42">
        <v>0.13552502887089776</v>
      </c>
      <c r="O15" s="44">
        <v>13587.574000000001</v>
      </c>
      <c r="P15" s="42">
        <v>9.0918157333635818</v>
      </c>
      <c r="Q15" s="42">
        <v>377.26900000000001</v>
      </c>
      <c r="R15" s="43">
        <v>0.25244096038853925</v>
      </c>
      <c r="S15" s="42">
        <v>10.298999999999999</v>
      </c>
      <c r="T15" s="42">
        <v>6.891341326855812E-3</v>
      </c>
    </row>
    <row r="16" spans="2:20" s="1" customFormat="1" ht="18.95" customHeight="1">
      <c r="B16" s="41">
        <v>2017</v>
      </c>
      <c r="C16" s="40">
        <f>154382773/1000</f>
        <v>154382.77299999999</v>
      </c>
      <c r="D16" s="39">
        <f>SUM(F16,H16,L16,N16,P16,R16,T16)</f>
        <v>1.0000000064774066</v>
      </c>
      <c r="E16" s="35">
        <f>26425903/1000</f>
        <v>26425.902999999998</v>
      </c>
      <c r="F16" s="38">
        <f>E16/$C$16</f>
        <v>0.17117131974303895</v>
      </c>
      <c r="G16" s="37">
        <f>93583712/1000</f>
        <v>93583.712</v>
      </c>
      <c r="H16" s="38">
        <f>G16/$C$16</f>
        <v>0.60617975815216119</v>
      </c>
      <c r="I16" s="37"/>
      <c r="J16" s="37"/>
      <c r="K16" s="37">
        <f>+(4145286+15673381)/1000</f>
        <v>19818.667000000001</v>
      </c>
      <c r="L16" s="38">
        <f>K16/$C$16</f>
        <v>0.1283735653588759</v>
      </c>
      <c r="M16" s="37">
        <f>155100/1000</f>
        <v>155.1</v>
      </c>
      <c r="N16" s="36">
        <f>M16/$C$16</f>
        <v>1.0046457709371498E-3</v>
      </c>
      <c r="O16" s="35">
        <f>14033996/1000</f>
        <v>14033.995999999999</v>
      </c>
      <c r="P16" s="38">
        <f>O16/$C$16</f>
        <v>9.0903898973235836E-2</v>
      </c>
      <c r="Q16" s="37">
        <f>355065/1000</f>
        <v>355.065</v>
      </c>
      <c r="R16" s="36">
        <f>Q16/$C$16</f>
        <v>2.2999003910883246E-3</v>
      </c>
      <c r="S16" s="35">
        <v>10.331</v>
      </c>
      <c r="T16" s="34">
        <f>S16/$C$16</f>
        <v>6.6918088069321054E-5</v>
      </c>
    </row>
    <row r="17" spans="1:20" s="1" customFormat="1" ht="18.95" customHeight="1">
      <c r="A17" s="33"/>
      <c r="B17" s="32">
        <v>2018</v>
      </c>
      <c r="C17" s="31">
        <f>153520705/1000</f>
        <v>153520.70499999999</v>
      </c>
      <c r="D17" s="30">
        <f>SUM(F17,H17,L17,N17,P17,R17,T17)</f>
        <v>1.0000000065137793</v>
      </c>
      <c r="E17" s="28">
        <f>42814365/1000</f>
        <v>42814.364999999998</v>
      </c>
      <c r="F17" s="27">
        <f>E17/$C$17</f>
        <v>0.27888332717075526</v>
      </c>
      <c r="G17" s="25">
        <f>(74949660)/1000</f>
        <v>74949.66</v>
      </c>
      <c r="H17" s="27">
        <f>G17/$C$17</f>
        <v>0.48820554856102316</v>
      </c>
      <c r="I17" s="25"/>
      <c r="J17" s="25"/>
      <c r="K17" s="25">
        <f>(2972344+17818143)/1000</f>
        <v>20790.487000000001</v>
      </c>
      <c r="L17" s="27">
        <f>K17/$C$17</f>
        <v>0.13542464516431188</v>
      </c>
      <c r="M17" s="25">
        <f>134122/1000</f>
        <v>134.12200000000001</v>
      </c>
      <c r="N17" s="29">
        <f>M17/$C$17</f>
        <v>8.7364111570488174E-4</v>
      </c>
      <c r="O17" s="28">
        <f>14526320/1000</f>
        <v>14526.32</v>
      </c>
      <c r="P17" s="27">
        <f>O17/$C$17</f>
        <v>9.4621243434232546E-2</v>
      </c>
      <c r="Q17" s="25">
        <f>295856/1000</f>
        <v>295.85599999999999</v>
      </c>
      <c r="R17" s="26">
        <f>Q17/$C$17</f>
        <v>1.9271407071769246E-3</v>
      </c>
      <c r="S17" s="25">
        <v>9.8960000000000008</v>
      </c>
      <c r="T17" s="24">
        <f>S17/$C$17</f>
        <v>6.4460360574816291E-5</v>
      </c>
    </row>
    <row r="18" spans="1:20" s="1" customFormat="1" ht="5.0999999999999996" customHeight="1">
      <c r="B18" s="23"/>
      <c r="C18" s="22"/>
      <c r="D18" s="21"/>
      <c r="E18" s="15"/>
      <c r="F18" s="19"/>
      <c r="G18" s="15"/>
      <c r="H18" s="20"/>
      <c r="I18" s="15"/>
      <c r="J18" s="19"/>
      <c r="K18" s="17"/>
      <c r="L18" s="16"/>
      <c r="M18" s="16"/>
      <c r="N18" s="16"/>
      <c r="O18" s="15"/>
      <c r="P18" s="18"/>
      <c r="Q18" s="17"/>
      <c r="R18" s="16"/>
      <c r="S18" s="15"/>
      <c r="T18" s="14"/>
    </row>
    <row r="19" spans="1:20" s="1" customFormat="1" ht="15" customHeight="1">
      <c r="B19" s="12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3"/>
      <c r="Q19" s="13"/>
      <c r="R19" s="12"/>
      <c r="S19" s="12"/>
      <c r="T19" s="12"/>
    </row>
    <row r="20" spans="1:20" s="1" customFormat="1" ht="15" customHeight="1">
      <c r="B20" s="6"/>
      <c r="C20" s="6" t="s">
        <v>3</v>
      </c>
      <c r="D20" s="6"/>
      <c r="E20" s="6"/>
      <c r="F20" s="10"/>
      <c r="G20" s="6"/>
      <c r="H20" s="9"/>
      <c r="I20" s="6"/>
      <c r="J20" s="6"/>
      <c r="K20" s="6"/>
      <c r="L20" s="6"/>
      <c r="M20" s="6"/>
      <c r="N20" s="6"/>
      <c r="O20" s="6"/>
      <c r="P20" s="8"/>
      <c r="Q20" s="8"/>
      <c r="R20" s="7"/>
      <c r="S20" s="7"/>
      <c r="T20" s="7"/>
    </row>
    <row r="21" spans="1:20" s="1" customFormat="1" ht="15" customHeight="1">
      <c r="B21" s="6"/>
      <c r="C21" s="11" t="s">
        <v>2</v>
      </c>
      <c r="D21" s="6"/>
      <c r="E21" s="6"/>
      <c r="F21" s="10"/>
      <c r="G21" s="6"/>
      <c r="H21" s="9"/>
      <c r="I21" s="6"/>
      <c r="J21" s="6"/>
      <c r="K21" s="6"/>
      <c r="L21" s="6"/>
      <c r="M21" s="6"/>
      <c r="N21" s="6"/>
      <c r="O21" s="6"/>
      <c r="P21" s="8"/>
      <c r="Q21" s="8"/>
      <c r="R21" s="7"/>
      <c r="S21" s="7"/>
      <c r="T21" s="7"/>
    </row>
    <row r="22" spans="1:20" s="1" customFormat="1" ht="15" customHeight="1">
      <c r="B22" s="6"/>
      <c r="C22" s="6" t="s">
        <v>1</v>
      </c>
      <c r="D22" s="6"/>
      <c r="E22" s="6"/>
      <c r="F22" s="10"/>
      <c r="G22" s="6"/>
      <c r="H22" s="9"/>
      <c r="I22" s="6"/>
      <c r="J22" s="6"/>
      <c r="K22" s="6"/>
      <c r="L22" s="6"/>
      <c r="M22" s="6"/>
      <c r="N22" s="6"/>
      <c r="O22" s="6"/>
      <c r="P22" s="8"/>
      <c r="Q22" s="8"/>
      <c r="R22" s="7"/>
      <c r="S22" s="7"/>
      <c r="T22" s="7"/>
    </row>
    <row r="23" spans="1:20" s="1" customFormat="1" ht="15" customHeight="1">
      <c r="B23" s="6"/>
      <c r="C23" s="6" t="s">
        <v>0</v>
      </c>
      <c r="D23" s="6"/>
      <c r="E23" s="6"/>
      <c r="F23" s="10"/>
      <c r="G23" s="6"/>
      <c r="H23" s="9"/>
      <c r="I23" s="6"/>
      <c r="J23" s="6"/>
      <c r="K23" s="6"/>
      <c r="L23" s="6"/>
      <c r="M23" s="6"/>
      <c r="N23" s="6"/>
      <c r="O23" s="6"/>
      <c r="P23" s="8"/>
      <c r="Q23" s="8"/>
      <c r="R23" s="7"/>
      <c r="S23" s="7"/>
      <c r="T23" s="7"/>
    </row>
    <row r="24" spans="1:20" s="1" customFormat="1" ht="15" customHeight="1">
      <c r="B24" s="6"/>
      <c r="C24" s="6"/>
      <c r="D24" s="6"/>
      <c r="E24" s="6"/>
      <c r="F24" s="10"/>
      <c r="G24" s="6"/>
      <c r="H24" s="9"/>
      <c r="I24" s="6"/>
      <c r="J24" s="6"/>
      <c r="K24" s="6"/>
      <c r="L24" s="6"/>
      <c r="M24" s="6"/>
      <c r="N24" s="6"/>
      <c r="O24" s="6"/>
      <c r="P24" s="8"/>
      <c r="Q24" s="8"/>
      <c r="R24" s="7"/>
      <c r="S24" s="7"/>
      <c r="T24" s="7"/>
    </row>
    <row r="25" spans="1:20" s="1" customFormat="1" ht="15" customHeight="1">
      <c r="B25" s="6"/>
      <c r="C25" s="6"/>
      <c r="D25" s="6"/>
      <c r="E25" s="6"/>
      <c r="F25" s="10"/>
      <c r="G25" s="6"/>
      <c r="H25" s="9"/>
      <c r="I25" s="6"/>
      <c r="J25" s="6"/>
      <c r="K25" s="6"/>
      <c r="L25" s="6"/>
      <c r="M25" s="6"/>
      <c r="N25" s="6"/>
      <c r="O25" s="6"/>
      <c r="P25" s="8"/>
      <c r="Q25" s="8"/>
      <c r="R25" s="7"/>
      <c r="S25" s="7"/>
      <c r="T25" s="7"/>
    </row>
    <row r="26" spans="1:20" s="1" customFormat="1" ht="15" customHeight="1">
      <c r="B26" s="6"/>
      <c r="C26" s="6"/>
      <c r="D26" s="6"/>
      <c r="E26" s="6"/>
      <c r="F26" s="10"/>
      <c r="G26" s="6"/>
      <c r="H26" s="9"/>
      <c r="I26" s="6"/>
      <c r="J26" s="6"/>
      <c r="K26" s="6"/>
      <c r="L26" s="6"/>
      <c r="M26" s="6"/>
      <c r="N26" s="6"/>
      <c r="O26" s="6"/>
      <c r="P26" s="8"/>
      <c r="Q26" s="8"/>
      <c r="R26" s="7"/>
      <c r="S26" s="7"/>
      <c r="T26" s="7"/>
    </row>
    <row r="27" spans="1:20" s="1" customFormat="1" ht="15" customHeight="1">
      <c r="B27" s="6"/>
      <c r="C27" s="4"/>
      <c r="D27" s="4"/>
      <c r="E27" s="4"/>
      <c r="F27" s="4"/>
      <c r="G27" s="4"/>
      <c r="H27" s="5"/>
      <c r="I27" s="4"/>
      <c r="J27" s="4"/>
      <c r="K27" s="4"/>
      <c r="L27" s="4"/>
      <c r="M27" s="4"/>
      <c r="N27" s="4"/>
      <c r="O27" s="4"/>
      <c r="P27" s="3"/>
      <c r="Q27" s="3"/>
      <c r="R27" s="2"/>
      <c r="S27" s="2"/>
      <c r="T27" s="2"/>
    </row>
  </sheetData>
  <mergeCells count="12">
    <mergeCell ref="K5:L5"/>
    <mergeCell ref="O5:P5"/>
    <mergeCell ref="Q5:R5"/>
    <mergeCell ref="S5:T5"/>
    <mergeCell ref="C4:D4"/>
    <mergeCell ref="E4:N4"/>
    <mergeCell ref="O4:R4"/>
    <mergeCell ref="S4:T4"/>
    <mergeCell ref="C5:D5"/>
    <mergeCell ref="E5:F5"/>
    <mergeCell ref="G5:H5"/>
    <mergeCell ref="I5:J5"/>
  </mergeCells>
  <pageMargins left="0.25" right="0.25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P19"/>
  <sheetViews>
    <sheetView showGridLines="0" workbookViewId="0">
      <pane ySplit="6" topLeftCell="A7" activePane="bottomLeft" state="frozen"/>
      <selection activeCell="F29" sqref="F29"/>
      <selection pane="bottomLeft" activeCell="F29" sqref="F29"/>
    </sheetView>
  </sheetViews>
  <sheetFormatPr defaultRowHeight="14.25"/>
  <cols>
    <col min="1" max="1" width="5.7109375" style="71" customWidth="1"/>
    <col min="2" max="2" width="6.85546875" style="71" customWidth="1"/>
    <col min="3" max="16" width="9.7109375" style="71" customWidth="1"/>
    <col min="17" max="16384" width="9.140625" style="71"/>
  </cols>
  <sheetData>
    <row r="2" spans="2:16" s="1" customFormat="1" ht="21" customHeight="1">
      <c r="B2" s="100" t="s">
        <v>24</v>
      </c>
    </row>
    <row r="3" spans="2:16" s="71" customFormat="1" ht="5.0999999999999996" customHeight="1"/>
    <row r="4" spans="2:16" s="71" customFormat="1" ht="21" customHeight="1">
      <c r="B4" s="99" t="s">
        <v>14</v>
      </c>
      <c r="C4" s="99" t="s">
        <v>13</v>
      </c>
      <c r="D4" s="99"/>
      <c r="E4" s="99" t="s">
        <v>9</v>
      </c>
      <c r="F4" s="99"/>
      <c r="G4" s="99" t="s">
        <v>23</v>
      </c>
      <c r="H4" s="99"/>
      <c r="I4" s="98" t="s">
        <v>22</v>
      </c>
      <c r="J4" s="98"/>
      <c r="K4" s="98"/>
      <c r="L4" s="98"/>
      <c r="M4" s="98"/>
      <c r="N4" s="98"/>
      <c r="O4" s="98"/>
      <c r="P4" s="98"/>
    </row>
    <row r="5" spans="2:16" s="71" customFormat="1" ht="21" customHeight="1">
      <c r="B5" s="97"/>
      <c r="C5" s="97"/>
      <c r="D5" s="97"/>
      <c r="E5" s="97"/>
      <c r="F5" s="97"/>
      <c r="G5" s="97"/>
      <c r="H5" s="97"/>
      <c r="I5" s="96" t="s">
        <v>12</v>
      </c>
      <c r="J5" s="96"/>
      <c r="K5" s="96" t="s">
        <v>11</v>
      </c>
      <c r="L5" s="96"/>
      <c r="M5" s="96" t="s">
        <v>21</v>
      </c>
      <c r="N5" s="96"/>
      <c r="O5" s="96" t="s">
        <v>20</v>
      </c>
      <c r="P5" s="95"/>
    </row>
    <row r="6" spans="2:16" s="71" customFormat="1" ht="18" customHeight="1">
      <c r="B6" s="94"/>
      <c r="C6" s="93" t="s">
        <v>6</v>
      </c>
      <c r="D6" s="93" t="s">
        <v>5</v>
      </c>
      <c r="E6" s="93" t="s">
        <v>6</v>
      </c>
      <c r="F6" s="93" t="s">
        <v>5</v>
      </c>
      <c r="G6" s="93" t="s">
        <v>6</v>
      </c>
      <c r="H6" s="93" t="s">
        <v>5</v>
      </c>
      <c r="I6" s="93" t="s">
        <v>6</v>
      </c>
      <c r="J6" s="93" t="s">
        <v>5</v>
      </c>
      <c r="K6" s="93" t="s">
        <v>6</v>
      </c>
      <c r="L6" s="93" t="s">
        <v>5</v>
      </c>
      <c r="M6" s="93" t="s">
        <v>6</v>
      </c>
      <c r="N6" s="93" t="s">
        <v>5</v>
      </c>
      <c r="O6" s="93" t="s">
        <v>6</v>
      </c>
      <c r="P6" s="93" t="s">
        <v>5</v>
      </c>
    </row>
    <row r="7" spans="2:16" s="71" customFormat="1" ht="18" customHeight="1">
      <c r="B7" s="92">
        <v>2008</v>
      </c>
      <c r="C7" s="91">
        <v>115522</v>
      </c>
      <c r="D7" s="91">
        <v>100</v>
      </c>
      <c r="E7" s="90">
        <v>66495</v>
      </c>
      <c r="F7" s="90">
        <v>57.560464673395536</v>
      </c>
      <c r="G7" s="90">
        <v>49027</v>
      </c>
      <c r="H7" s="90">
        <v>42.439535326604457</v>
      </c>
      <c r="I7" s="90">
        <v>49027</v>
      </c>
      <c r="J7" s="90">
        <v>42.439535326604457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</row>
    <row r="8" spans="2:16" s="71" customFormat="1" ht="18" customHeight="1">
      <c r="B8" s="92">
        <v>2009</v>
      </c>
      <c r="C8" s="91">
        <v>107874</v>
      </c>
      <c r="D8" s="91">
        <v>100</v>
      </c>
      <c r="E8" s="90">
        <v>69139</v>
      </c>
      <c r="F8" s="90">
        <v>64.092367020783499</v>
      </c>
      <c r="G8" s="90">
        <v>38735</v>
      </c>
      <c r="H8" s="90">
        <v>35.907632979216494</v>
      </c>
      <c r="I8" s="90">
        <v>38735</v>
      </c>
      <c r="J8" s="90">
        <v>35.907632979216494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</row>
    <row r="9" spans="2:16" s="71" customFormat="1" ht="18" customHeight="1">
      <c r="B9" s="92">
        <v>2010</v>
      </c>
      <c r="C9" s="91">
        <v>111351</v>
      </c>
      <c r="D9" s="91">
        <v>100</v>
      </c>
      <c r="E9" s="90">
        <v>63457</v>
      </c>
      <c r="F9" s="90">
        <v>56.988262341604482</v>
      </c>
      <c r="G9" s="90">
        <v>47894</v>
      </c>
      <c r="H9" s="90">
        <v>43.011737658395518</v>
      </c>
      <c r="I9" s="90">
        <v>47738</v>
      </c>
      <c r="J9" s="90">
        <v>42.871640128961573</v>
      </c>
      <c r="K9" s="90">
        <v>156</v>
      </c>
      <c r="L9" s="90">
        <v>0.14009752943395209</v>
      </c>
      <c r="M9" s="90">
        <v>0</v>
      </c>
      <c r="N9" s="90">
        <v>0</v>
      </c>
      <c r="O9" s="90">
        <v>0</v>
      </c>
      <c r="P9" s="90">
        <v>0</v>
      </c>
    </row>
    <row r="10" spans="2:16" s="71" customFormat="1" ht="18" customHeight="1">
      <c r="B10" s="92">
        <v>2011</v>
      </c>
      <c r="C10" s="91">
        <v>109021</v>
      </c>
      <c r="D10" s="91">
        <v>100</v>
      </c>
      <c r="E10" s="90">
        <v>73773</v>
      </c>
      <c r="F10" s="90">
        <v>67.66861430366626</v>
      </c>
      <c r="G10" s="90">
        <v>35248</v>
      </c>
      <c r="H10" s="90">
        <v>32.33138569633374</v>
      </c>
      <c r="I10" s="90">
        <v>35248</v>
      </c>
      <c r="J10" s="90">
        <v>32.33138569633374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</row>
    <row r="11" spans="2:16" s="71" customFormat="1" ht="18" customHeight="1">
      <c r="B11" s="92">
        <v>2012</v>
      </c>
      <c r="C11" s="91">
        <v>112216.90299999999</v>
      </c>
      <c r="D11" s="91">
        <v>100.00000000000001</v>
      </c>
      <c r="E11" s="90">
        <v>75442.129000000001</v>
      </c>
      <c r="F11" s="90">
        <v>67.228846085691757</v>
      </c>
      <c r="G11" s="90">
        <v>36774.773999999998</v>
      </c>
      <c r="H11" s="90">
        <v>32.771153914308258</v>
      </c>
      <c r="I11" s="90">
        <v>36774.773999999998</v>
      </c>
      <c r="J11" s="90">
        <v>32.771153914308258</v>
      </c>
      <c r="K11" s="90">
        <v>0</v>
      </c>
      <c r="L11" s="90">
        <v>0</v>
      </c>
      <c r="M11" s="90">
        <v>0</v>
      </c>
      <c r="N11" s="90">
        <v>0</v>
      </c>
      <c r="O11" s="90">
        <v>0</v>
      </c>
      <c r="P11" s="90">
        <v>0</v>
      </c>
    </row>
    <row r="12" spans="2:16" s="71" customFormat="1" ht="18" customHeight="1">
      <c r="B12" s="92">
        <v>2013</v>
      </c>
      <c r="C12" s="91">
        <v>112717.02299999999</v>
      </c>
      <c r="D12" s="91">
        <v>100</v>
      </c>
      <c r="E12" s="90">
        <v>80340.492999999988</v>
      </c>
      <c r="F12" s="90">
        <v>71.276272972539374</v>
      </c>
      <c r="G12" s="90">
        <v>32376.53</v>
      </c>
      <c r="H12" s="90">
        <v>28.723727027460622</v>
      </c>
      <c r="I12" s="90">
        <v>32376.53</v>
      </c>
      <c r="J12" s="90">
        <v>28.723727027460622</v>
      </c>
      <c r="K12" s="90">
        <v>0</v>
      </c>
      <c r="L12" s="90">
        <v>0</v>
      </c>
      <c r="M12" s="90">
        <v>0</v>
      </c>
      <c r="N12" s="90">
        <v>0</v>
      </c>
      <c r="O12" s="90">
        <v>0</v>
      </c>
      <c r="P12" s="90">
        <v>0</v>
      </c>
    </row>
    <row r="13" spans="2:16" s="71" customFormat="1" ht="18" customHeight="1">
      <c r="B13" s="92">
        <v>2014</v>
      </c>
      <c r="C13" s="91">
        <v>125016.1090021657</v>
      </c>
      <c r="D13" s="91">
        <v>100</v>
      </c>
      <c r="E13" s="90">
        <v>94713.537500000006</v>
      </c>
      <c r="F13" s="90">
        <v>75.761066518523023</v>
      </c>
      <c r="G13" s="90">
        <v>30302.571502165702</v>
      </c>
      <c r="H13" s="90">
        <v>24.23893348147698</v>
      </c>
      <c r="I13" s="90">
        <v>29989.133000000002</v>
      </c>
      <c r="J13" s="90">
        <v>23.988214990342154</v>
      </c>
      <c r="K13" s="90">
        <v>0</v>
      </c>
      <c r="L13" s="90">
        <v>0</v>
      </c>
      <c r="M13" s="90">
        <v>313.43850216569984</v>
      </c>
      <c r="N13" s="90">
        <v>0.25071849113482653</v>
      </c>
      <c r="O13" s="90">
        <v>0</v>
      </c>
      <c r="P13" s="90">
        <v>0</v>
      </c>
    </row>
    <row r="14" spans="2:16" s="71" customFormat="1" ht="18" customHeight="1">
      <c r="B14" s="92">
        <v>2015</v>
      </c>
      <c r="C14" s="91">
        <v>131280.40700000001</v>
      </c>
      <c r="D14" s="91">
        <v>100</v>
      </c>
      <c r="E14" s="90">
        <v>96775.646000000008</v>
      </c>
      <c r="F14" s="90">
        <v>73.716747389425748</v>
      </c>
      <c r="G14" s="90">
        <v>34504.760999999999</v>
      </c>
      <c r="H14" s="90">
        <v>26.283252610574248</v>
      </c>
      <c r="I14" s="90">
        <v>30897.621999999999</v>
      </c>
      <c r="J14" s="90">
        <v>23.535592786515355</v>
      </c>
      <c r="K14" s="90">
        <v>0</v>
      </c>
      <c r="L14" s="90">
        <v>0</v>
      </c>
      <c r="M14" s="90">
        <v>3430.9390000000003</v>
      </c>
      <c r="N14" s="90">
        <v>2.6134432992731353</v>
      </c>
      <c r="O14" s="90">
        <v>176.2</v>
      </c>
      <c r="P14" s="90">
        <v>0.13421652478575874</v>
      </c>
    </row>
    <row r="15" spans="2:16" s="71" customFormat="1" ht="18" customHeight="1">
      <c r="B15" s="89">
        <v>2016</v>
      </c>
      <c r="C15" s="88">
        <v>149448.40940666664</v>
      </c>
      <c r="D15" s="88">
        <v>100</v>
      </c>
      <c r="E15" s="87">
        <v>100840.70999999999</v>
      </c>
      <c r="F15" s="87">
        <v>67.475264809008834</v>
      </c>
      <c r="G15" s="87">
        <v>48607.699406666667</v>
      </c>
      <c r="H15" s="87">
        <v>32.524735190991173</v>
      </c>
      <c r="I15" s="87">
        <v>32846.817999999999</v>
      </c>
      <c r="J15" s="87">
        <v>21.978700295578228</v>
      </c>
      <c r="K15" s="87">
        <v>0</v>
      </c>
      <c r="L15" s="87">
        <v>0</v>
      </c>
      <c r="M15" s="87">
        <v>15558.341406666668</v>
      </c>
      <c r="N15" s="87">
        <v>10.410509866539025</v>
      </c>
      <c r="O15" s="87">
        <v>202.54</v>
      </c>
      <c r="P15" s="87">
        <v>0.13552502887392057</v>
      </c>
    </row>
    <row r="16" spans="2:16" s="71" customFormat="1" ht="18" customHeight="1">
      <c r="B16" s="86">
        <v>2017</v>
      </c>
      <c r="C16" s="85">
        <f>[1]E1!C16</f>
        <v>154382.77299999999</v>
      </c>
      <c r="D16" s="84">
        <f>F16+H16</f>
        <v>1.0000000064774068</v>
      </c>
      <c r="E16" s="83">
        <f>[1]E1!G16+[1]E1!O16</f>
        <v>107617.708</v>
      </c>
      <c r="F16" s="82">
        <f>E16/$C$16</f>
        <v>0.6970836571253971</v>
      </c>
      <c r="G16" s="83">
        <f>SUM(I16,M16,O16)</f>
        <v>46765.065999999999</v>
      </c>
      <c r="H16" s="82">
        <f>G16/$C$16</f>
        <v>0.30291634935200967</v>
      </c>
      <c r="I16" s="83">
        <f>[1]E1!E16</f>
        <v>26425.902999999998</v>
      </c>
      <c r="J16" s="82">
        <f>I16/$C$16</f>
        <v>0.17117131974303895</v>
      </c>
      <c r="K16" s="83"/>
      <c r="L16" s="83"/>
      <c r="M16" s="83">
        <f>[1]E1!K16+[1]E1!Q16+[1]E1!S16</f>
        <v>20184.062999999998</v>
      </c>
      <c r="N16" s="82">
        <f>M16/$C$16</f>
        <v>0.13074038383803355</v>
      </c>
      <c r="O16" s="83">
        <f>[1]E1!M16</f>
        <v>155.1</v>
      </c>
      <c r="P16" s="82">
        <f>O16/$C$16</f>
        <v>1.0046457709371498E-3</v>
      </c>
    </row>
    <row r="17" spans="2:16" s="71" customFormat="1" ht="18" customHeight="1">
      <c r="B17" s="81">
        <v>2018</v>
      </c>
      <c r="C17" s="80">
        <f>[1]E1!C17</f>
        <v>153520.70499999999</v>
      </c>
      <c r="D17" s="79">
        <f>F17+H17</f>
        <v>1.0000000065137795</v>
      </c>
      <c r="E17" s="78">
        <f>[1]E1!G17+[1]E1!O17</f>
        <v>89475.98000000001</v>
      </c>
      <c r="F17" s="77">
        <f>E17/$C$17</f>
        <v>0.58282679199525578</v>
      </c>
      <c r="G17" s="78">
        <f>SUM(I17,M17,O17)</f>
        <v>64044.726000000002</v>
      </c>
      <c r="H17" s="77">
        <f>G17/$C$17</f>
        <v>0.41717321451852379</v>
      </c>
      <c r="I17" s="78">
        <f>[1]E1!E17</f>
        <v>42814.364999999998</v>
      </c>
      <c r="J17" s="77">
        <f>I17/$C$17</f>
        <v>0.27888332717075526</v>
      </c>
      <c r="K17" s="78"/>
      <c r="L17" s="78"/>
      <c r="M17" s="78">
        <f>[1]E1!K17+[1]E1!Q17+[1]E1!S17</f>
        <v>21096.239000000001</v>
      </c>
      <c r="N17" s="77">
        <f>M17/$C$17</f>
        <v>0.13741624623206364</v>
      </c>
      <c r="O17" s="78">
        <f>[1]E1!M17</f>
        <v>134.12200000000001</v>
      </c>
      <c r="P17" s="77">
        <f>O17/$C$17</f>
        <v>8.7364111570488174E-4</v>
      </c>
    </row>
    <row r="18" spans="2:16" s="71" customFormat="1" ht="5.0999999999999996" customHeight="1">
      <c r="B18" s="76"/>
      <c r="C18" s="75"/>
      <c r="D18" s="74"/>
      <c r="E18" s="74"/>
      <c r="F18" s="74"/>
      <c r="G18" s="74"/>
      <c r="H18" s="74"/>
      <c r="I18" s="74"/>
      <c r="J18" s="74"/>
      <c r="K18" s="73"/>
      <c r="L18" s="73"/>
      <c r="M18" s="73"/>
      <c r="N18" s="73"/>
      <c r="O18" s="73"/>
      <c r="P18" s="73"/>
    </row>
    <row r="19" spans="2:16" s="71" customFormat="1" ht="18" customHeight="1">
      <c r="B19" s="72" t="s">
        <v>4</v>
      </c>
      <c r="C19" s="72"/>
      <c r="D19" s="72"/>
      <c r="E19" s="72"/>
      <c r="F19" s="72"/>
    </row>
  </sheetData>
  <mergeCells count="5">
    <mergeCell ref="B4:B5"/>
    <mergeCell ref="C4:D5"/>
    <mergeCell ref="E4:F5"/>
    <mergeCell ref="G4:H5"/>
    <mergeCell ref="I4:P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Q16"/>
  <sheetViews>
    <sheetView showGridLines="0" workbookViewId="0">
      <pane xSplit="2" ySplit="4" topLeftCell="C5" activePane="bottomRight" state="frozen"/>
      <selection activeCell="F29" sqref="F29"/>
      <selection pane="topRight" activeCell="F29" sqref="F29"/>
      <selection pane="bottomLeft" activeCell="F29" sqref="F29"/>
      <selection pane="bottomRight" activeCell="F29" sqref="F29"/>
    </sheetView>
  </sheetViews>
  <sheetFormatPr defaultRowHeight="18.75" customHeight="1"/>
  <cols>
    <col min="1" max="1" width="5.7109375" style="72" customWidth="1"/>
    <col min="2" max="2" width="36" style="72" customWidth="1"/>
    <col min="3" max="12" width="10.28515625" style="72" bestFit="1" customWidth="1"/>
    <col min="13" max="15" width="11.28515625" style="72" bestFit="1" customWidth="1"/>
    <col min="16" max="17" width="10.28515625" style="72" bestFit="1" customWidth="1"/>
    <col min="18" max="16384" width="9.140625" style="72"/>
  </cols>
  <sheetData>
    <row r="1" spans="2:17" s="72" customFormat="1" ht="7.5" customHeight="1"/>
    <row r="2" spans="2:17" s="101" customFormat="1" ht="21" customHeight="1">
      <c r="B2" s="111" t="s">
        <v>36</v>
      </c>
    </row>
    <row r="3" spans="2:17" s="72" customFormat="1" ht="5.0999999999999996" customHeight="1"/>
    <row r="4" spans="2:17" s="72" customFormat="1" ht="21" customHeight="1">
      <c r="B4" s="110"/>
      <c r="C4" s="109">
        <v>2004</v>
      </c>
      <c r="D4" s="109">
        <v>2005</v>
      </c>
      <c r="E4" s="109">
        <v>2006</v>
      </c>
      <c r="F4" s="109">
        <v>2007</v>
      </c>
      <c r="G4" s="109">
        <v>2008</v>
      </c>
      <c r="H4" s="109">
        <v>2009</v>
      </c>
      <c r="I4" s="109">
        <v>2010</v>
      </c>
      <c r="J4" s="109">
        <v>2011</v>
      </c>
      <c r="K4" s="109">
        <v>2012</v>
      </c>
      <c r="L4" s="109">
        <v>2013</v>
      </c>
      <c r="M4" s="109">
        <v>2014</v>
      </c>
      <c r="N4" s="109">
        <v>2015</v>
      </c>
      <c r="O4" s="109">
        <v>2016</v>
      </c>
      <c r="P4" s="108">
        <v>2017</v>
      </c>
      <c r="Q4" s="108">
        <v>2018</v>
      </c>
    </row>
    <row r="5" spans="2:17" s="101" customFormat="1" ht="18.95" customHeight="1">
      <c r="B5" s="70" t="s">
        <v>35</v>
      </c>
      <c r="C5" s="107">
        <v>21725</v>
      </c>
      <c r="D5" s="107">
        <v>27179</v>
      </c>
      <c r="E5" s="107">
        <v>25678</v>
      </c>
      <c r="F5" s="107">
        <v>27044</v>
      </c>
      <c r="G5" s="107">
        <v>28772</v>
      </c>
      <c r="H5" s="107">
        <v>26316</v>
      </c>
      <c r="I5" s="107">
        <v>25701</v>
      </c>
      <c r="J5" s="107">
        <v>26530</v>
      </c>
      <c r="K5" s="107">
        <v>25875.236399999998</v>
      </c>
      <c r="L5" s="107">
        <v>26507.357099999997</v>
      </c>
      <c r="M5" s="107">
        <v>29123.306499999999</v>
      </c>
      <c r="N5" s="107">
        <f>31240832.86/1000</f>
        <v>31240.832859999999</v>
      </c>
      <c r="O5" s="107">
        <f>37367515/1000</f>
        <v>37367.514999999999</v>
      </c>
      <c r="P5" s="106">
        <v>45118.765599999999</v>
      </c>
      <c r="Q5" s="106">
        <v>45908.834299999995</v>
      </c>
    </row>
    <row r="6" spans="2:17" s="101" customFormat="1" ht="18.95" customHeight="1">
      <c r="B6" s="70" t="s">
        <v>34</v>
      </c>
      <c r="C6" s="107">
        <v>34215</v>
      </c>
      <c r="D6" s="107">
        <v>40802</v>
      </c>
      <c r="E6" s="107">
        <v>40341</v>
      </c>
      <c r="F6" s="107">
        <v>43349</v>
      </c>
      <c r="G6" s="107">
        <v>41787</v>
      </c>
      <c r="H6" s="107">
        <v>39362</v>
      </c>
      <c r="I6" s="107">
        <v>42853</v>
      </c>
      <c r="J6" s="107">
        <v>39038</v>
      </c>
      <c r="K6" s="107">
        <v>41401.333700000003</v>
      </c>
      <c r="L6" s="107">
        <v>40917.220799999996</v>
      </c>
      <c r="M6" s="107">
        <v>48363.900569999998</v>
      </c>
      <c r="N6" s="107">
        <f>47586489.74/1000</f>
        <v>47586.489740000005</v>
      </c>
      <c r="O6" s="107">
        <f>(43228797.6+4205984.93)/1000</f>
        <v>47434.782530000004</v>
      </c>
      <c r="P6" s="106">
        <v>38114.568900000006</v>
      </c>
      <c r="Q6" s="106">
        <v>38977.877500000002</v>
      </c>
    </row>
    <row r="7" spans="2:17" s="101" customFormat="1" ht="18.95" customHeight="1">
      <c r="B7" s="70" t="s">
        <v>33</v>
      </c>
      <c r="C7" s="107">
        <v>9538</v>
      </c>
      <c r="D7" s="107">
        <v>8701</v>
      </c>
      <c r="E7" s="107">
        <v>9030</v>
      </c>
      <c r="F7" s="107">
        <v>8586</v>
      </c>
      <c r="G7" s="107">
        <v>9143</v>
      </c>
      <c r="H7" s="107">
        <v>8248</v>
      </c>
      <c r="I7" s="107">
        <v>8328</v>
      </c>
      <c r="J7" s="107">
        <v>8573</v>
      </c>
      <c r="K7" s="107">
        <v>9082.2768000000015</v>
      </c>
      <c r="L7" s="107">
        <v>9039.0706999999984</v>
      </c>
      <c r="M7" s="107">
        <v>9938.6183000000001</v>
      </c>
      <c r="N7" s="107">
        <f>18003304.92/1000</f>
        <v>18003.304920000002</v>
      </c>
      <c r="O7" s="107">
        <f>28998911.9/1000</f>
        <v>28998.911899999999</v>
      </c>
      <c r="P7" s="106">
        <v>27527.515500000001</v>
      </c>
      <c r="Q7" s="106">
        <v>26635.790400000002</v>
      </c>
    </row>
    <row r="8" spans="2:17" s="101" customFormat="1" ht="18.95" customHeight="1">
      <c r="B8" s="70" t="s">
        <v>32</v>
      </c>
      <c r="C8" s="107">
        <v>3282</v>
      </c>
      <c r="D8" s="107">
        <v>3444</v>
      </c>
      <c r="E8" s="107">
        <v>4703</v>
      </c>
      <c r="F8" s="107">
        <v>5059</v>
      </c>
      <c r="G8" s="107">
        <v>4706</v>
      </c>
      <c r="H8" s="107">
        <v>4868</v>
      </c>
      <c r="I8" s="107">
        <v>3335</v>
      </c>
      <c r="J8" s="107">
        <v>3278</v>
      </c>
      <c r="K8" s="107">
        <v>3236.0704999999998</v>
      </c>
      <c r="L8" s="107">
        <v>3042.0264999999999</v>
      </c>
      <c r="M8" s="107">
        <v>2934.7187999999996</v>
      </c>
      <c r="N8" s="107">
        <f>2813934.68/1000</f>
        <v>2813.9346800000003</v>
      </c>
      <c r="O8" s="107">
        <f>4739809.3/1000</f>
        <v>4739.8092999999999</v>
      </c>
      <c r="P8" s="106">
        <v>5302.904199999999</v>
      </c>
      <c r="Q8" s="106">
        <v>5594.3082000000004</v>
      </c>
    </row>
    <row r="9" spans="2:17" s="101" customFormat="1" ht="18.95" customHeight="1">
      <c r="B9" s="70" t="s">
        <v>31</v>
      </c>
      <c r="C9" s="107">
        <v>5857</v>
      </c>
      <c r="D9" s="107">
        <v>5477</v>
      </c>
      <c r="E9" s="107">
        <v>5092</v>
      </c>
      <c r="F9" s="107">
        <v>5297</v>
      </c>
      <c r="G9" s="107">
        <v>4146</v>
      </c>
      <c r="H9" s="107">
        <v>4146</v>
      </c>
      <c r="I9" s="107">
        <v>4830</v>
      </c>
      <c r="J9" s="107">
        <v>5299</v>
      </c>
      <c r="K9" s="107">
        <v>5628.3026999999993</v>
      </c>
      <c r="L9" s="107">
        <v>5756</v>
      </c>
      <c r="M9" s="107">
        <v>7687.3477581346797</v>
      </c>
      <c r="N9" s="107">
        <f>4832885.59/1000+(4160156/1000)</f>
        <v>8993.0415900000007</v>
      </c>
      <c r="O9" s="107">
        <f>5706458.4/1000</f>
        <v>5706.4584000000004</v>
      </c>
      <c r="P9" s="106">
        <v>10707.687099999999</v>
      </c>
      <c r="Q9" s="106">
        <v>9625.4990599999965</v>
      </c>
    </row>
    <row r="10" spans="2:17" s="101" customFormat="1" ht="18.95" customHeight="1">
      <c r="B10" s="70" t="s">
        <v>30</v>
      </c>
      <c r="C10" s="107">
        <v>5424</v>
      </c>
      <c r="D10" s="107">
        <v>4997</v>
      </c>
      <c r="E10" s="107">
        <v>5417</v>
      </c>
      <c r="F10" s="107">
        <v>5303</v>
      </c>
      <c r="G10" s="107">
        <v>5115</v>
      </c>
      <c r="H10" s="107">
        <v>5077</v>
      </c>
      <c r="I10" s="107">
        <v>4192</v>
      </c>
      <c r="J10" s="107">
        <v>4925</v>
      </c>
      <c r="K10" s="107">
        <v>5360.6769000000004</v>
      </c>
      <c r="L10" s="107">
        <v>5440.8689999999997</v>
      </c>
      <c r="M10" s="107">
        <v>6723.6135999999997</v>
      </c>
      <c r="N10" s="107">
        <f>5483138.17/1000</f>
        <v>5483.1381700000002</v>
      </c>
      <c r="O10" s="107">
        <f>6883572.1/1000</f>
        <v>6883.5720999999994</v>
      </c>
      <c r="P10" s="106">
        <v>6948.8726000000015</v>
      </c>
      <c r="Q10" s="106">
        <v>6531.2255999999998</v>
      </c>
    </row>
    <row r="11" spans="2:17" s="101" customFormat="1" ht="18.95" customHeight="1">
      <c r="B11" s="70" t="s">
        <v>29</v>
      </c>
      <c r="C11" s="107">
        <v>2699</v>
      </c>
      <c r="D11" s="107">
        <v>2821</v>
      </c>
      <c r="E11" s="107">
        <v>2870</v>
      </c>
      <c r="F11" s="107">
        <v>3157</v>
      </c>
      <c r="G11" s="107">
        <v>2798</v>
      </c>
      <c r="H11" s="107">
        <v>2573</v>
      </c>
      <c r="I11" s="107">
        <v>2462</v>
      </c>
      <c r="J11" s="107">
        <v>2093</v>
      </c>
      <c r="K11" s="107">
        <v>2257.1030000000001</v>
      </c>
      <c r="L11" s="107">
        <v>2319.5562999999997</v>
      </c>
      <c r="M11" s="107">
        <v>2441.681</v>
      </c>
      <c r="N11" s="107">
        <f>2298331.8/1000</f>
        <v>2298.3317999999999</v>
      </c>
      <c r="O11" s="107">
        <f>2208891.2/1000</f>
        <v>2208.8912</v>
      </c>
      <c r="P11" s="106">
        <v>2386.7105999999999</v>
      </c>
      <c r="Q11" s="106">
        <v>2280.8367000000007</v>
      </c>
    </row>
    <row r="12" spans="2:17" s="101" customFormat="1" ht="18.95" customHeight="1">
      <c r="B12" s="70" t="s">
        <v>28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87">
        <f>936148/1000</f>
        <v>936.14800000000002</v>
      </c>
      <c r="P12" s="106">
        <v>2270.6979999999999</v>
      </c>
      <c r="Q12" s="106">
        <v>2869.165</v>
      </c>
    </row>
    <row r="13" spans="2:17" s="101" customFormat="1" ht="21" customHeight="1">
      <c r="B13" s="105" t="s">
        <v>27</v>
      </c>
      <c r="C13" s="104">
        <v>82740</v>
      </c>
      <c r="D13" s="104">
        <v>93421</v>
      </c>
      <c r="E13" s="104">
        <v>93131</v>
      </c>
      <c r="F13" s="104">
        <v>97795</v>
      </c>
      <c r="G13" s="104">
        <v>96467</v>
      </c>
      <c r="H13" s="104">
        <v>90590</v>
      </c>
      <c r="I13" s="104">
        <v>91701</v>
      </c>
      <c r="J13" s="104">
        <v>89736</v>
      </c>
      <c r="K13" s="104">
        <v>92841.000000000015</v>
      </c>
      <c r="L13" s="104">
        <v>93022.100399999996</v>
      </c>
      <c r="M13" s="104">
        <v>107213.18652813468</v>
      </c>
      <c r="N13" s="104">
        <f>SUM(N5:N11)</f>
        <v>116419.07376000003</v>
      </c>
      <c r="O13" s="104">
        <f>SUM(O5:O12)</f>
        <v>134276.08843</v>
      </c>
      <c r="P13" s="103">
        <f>SUM(P5:P12)</f>
        <v>138377.7225</v>
      </c>
      <c r="Q13" s="103">
        <f>SUM(Q5:Q12)</f>
        <v>138423.53676000002</v>
      </c>
    </row>
    <row r="14" spans="2:17" s="72" customFormat="1" ht="5.0999999999999996" customHeight="1">
      <c r="B14" s="70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</row>
    <row r="15" spans="2:17" s="72" customFormat="1" ht="15" customHeight="1">
      <c r="B15" s="101" t="s">
        <v>26</v>
      </c>
    </row>
    <row r="16" spans="2:17" s="72" customFormat="1" ht="18.75" customHeight="1">
      <c r="B16" s="72" t="s">
        <v>25</v>
      </c>
    </row>
  </sheetData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2:O25"/>
  <sheetViews>
    <sheetView showGridLines="0" workbookViewId="0">
      <pane ySplit="4" topLeftCell="A5" activePane="bottomLeft" state="frozen"/>
      <selection activeCell="F29" sqref="F29"/>
      <selection pane="bottomLeft" activeCell="F29" sqref="F29"/>
    </sheetView>
  </sheetViews>
  <sheetFormatPr defaultRowHeight="14.25"/>
  <cols>
    <col min="1" max="1" width="5.7109375" style="74" customWidth="1"/>
    <col min="2" max="2" width="13.42578125" style="74" customWidth="1"/>
    <col min="3" max="3" width="24" style="74" customWidth="1"/>
    <col min="4" max="7" width="14" style="74" customWidth="1"/>
    <col min="8" max="9" width="12.7109375" style="74" customWidth="1"/>
    <col min="10" max="10" width="12.5703125" style="74" customWidth="1"/>
    <col min="11" max="16384" width="9.140625" style="74"/>
  </cols>
  <sheetData>
    <row r="2" spans="2:10" s="74" customFormat="1" ht="21" customHeight="1">
      <c r="B2" s="117" t="s">
        <v>52</v>
      </c>
      <c r="C2" s="117"/>
      <c r="D2" s="116"/>
      <c r="E2" s="116"/>
      <c r="F2" s="116"/>
      <c r="G2" s="116"/>
    </row>
    <row r="3" spans="2:10" s="74" customFormat="1" ht="5.0999999999999996" customHeight="1">
      <c r="F3" s="115"/>
      <c r="G3" s="115"/>
    </row>
    <row r="4" spans="2:10" s="74" customFormat="1" ht="21" customHeight="1">
      <c r="B4" s="123" t="s">
        <v>51</v>
      </c>
      <c r="C4" s="123"/>
      <c r="D4" s="135">
        <v>2012</v>
      </c>
      <c r="E4" s="135">
        <v>2013</v>
      </c>
      <c r="F4" s="135">
        <v>2014</v>
      </c>
      <c r="G4" s="135">
        <v>2015</v>
      </c>
      <c r="H4" s="109">
        <v>2016</v>
      </c>
      <c r="I4" s="109">
        <v>2017</v>
      </c>
      <c r="J4" s="109">
        <v>2018</v>
      </c>
    </row>
    <row r="5" spans="2:10" s="74" customFormat="1" ht="18.95" customHeight="1">
      <c r="B5" s="95" t="s">
        <v>20</v>
      </c>
      <c r="C5" s="134" t="s">
        <v>17</v>
      </c>
      <c r="H5" s="133"/>
      <c r="I5" s="133"/>
      <c r="J5" s="133"/>
    </row>
    <row r="6" spans="2:10" s="74" customFormat="1" ht="18.95" customHeight="1">
      <c r="B6" s="114"/>
      <c r="C6" s="132" t="s">
        <v>50</v>
      </c>
      <c r="D6" s="125">
        <v>0</v>
      </c>
      <c r="E6" s="125">
        <v>0</v>
      </c>
      <c r="F6" s="125">
        <v>0</v>
      </c>
      <c r="G6" s="125">
        <f>176200/1000</f>
        <v>176.2</v>
      </c>
      <c r="H6" s="124">
        <v>202.5</v>
      </c>
      <c r="I6" s="124">
        <v>155.1</v>
      </c>
      <c r="J6" s="124">
        <v>134.12200000000001</v>
      </c>
    </row>
    <row r="7" spans="2:10" s="74" customFormat="1" ht="18.95" customHeight="1">
      <c r="B7" s="95" t="s">
        <v>7</v>
      </c>
      <c r="C7" s="126" t="s">
        <v>49</v>
      </c>
      <c r="D7" s="125">
        <v>0</v>
      </c>
      <c r="E7" s="125">
        <v>0</v>
      </c>
      <c r="F7" s="125">
        <v>81.08841000000001</v>
      </c>
      <c r="G7" s="125">
        <f>212334/1000</f>
        <v>212.334</v>
      </c>
      <c r="H7" s="124">
        <v>215.8</v>
      </c>
      <c r="I7" s="124">
        <v>206.35499999999999</v>
      </c>
      <c r="J7" s="124">
        <v>179.161</v>
      </c>
    </row>
    <row r="8" spans="2:10" s="74" customFormat="1" ht="18.95" customHeight="1">
      <c r="B8" s="114"/>
      <c r="C8" s="126" t="s">
        <v>48</v>
      </c>
      <c r="D8" s="125">
        <v>0</v>
      </c>
      <c r="E8" s="125">
        <v>0</v>
      </c>
      <c r="F8" s="125">
        <v>110.88606</v>
      </c>
      <c r="G8" s="125">
        <f>309432/1000</f>
        <v>309.43200000000002</v>
      </c>
      <c r="H8" s="124">
        <v>311.5</v>
      </c>
      <c r="I8" s="124">
        <v>300.90800000000002</v>
      </c>
      <c r="J8" s="124">
        <v>234.12863000000002</v>
      </c>
    </row>
    <row r="9" spans="2:10" s="74" customFormat="1" ht="18.95" customHeight="1">
      <c r="B9" s="114"/>
      <c r="C9" s="126" t="s">
        <v>47</v>
      </c>
      <c r="D9" s="125">
        <v>0</v>
      </c>
      <c r="E9" s="125">
        <v>0</v>
      </c>
      <c r="F9" s="125">
        <v>66.204100000000011</v>
      </c>
      <c r="G9" s="125">
        <f>344787/1000</f>
        <v>344.78699999999998</v>
      </c>
      <c r="H9" s="124">
        <v>345.6</v>
      </c>
      <c r="I9" s="124">
        <v>334.83884999999998</v>
      </c>
      <c r="J9" s="124">
        <v>362.88099999999997</v>
      </c>
    </row>
    <row r="10" spans="2:10" s="74" customFormat="1" ht="18.95" customHeight="1">
      <c r="B10" s="114"/>
      <c r="C10" s="126" t="s">
        <v>46</v>
      </c>
      <c r="D10" s="125">
        <v>0</v>
      </c>
      <c r="E10" s="125">
        <v>0</v>
      </c>
      <c r="F10" s="125">
        <v>0</v>
      </c>
      <c r="G10" s="125">
        <f>1684553/1000</f>
        <v>1684.5530000000001</v>
      </c>
      <c r="H10" s="124">
        <v>3320.1</v>
      </c>
      <c r="I10" s="124">
        <v>3191.9070000000002</v>
      </c>
      <c r="J10" s="124">
        <v>2097.3560000000002</v>
      </c>
    </row>
    <row r="11" spans="2:10" s="74" customFormat="1" ht="18.95" customHeight="1">
      <c r="B11" s="114"/>
      <c r="C11" s="126" t="s">
        <v>45</v>
      </c>
      <c r="D11" s="125">
        <v>0</v>
      </c>
      <c r="E11" s="125">
        <v>0</v>
      </c>
      <c r="F11" s="125">
        <v>0</v>
      </c>
      <c r="G11" s="125">
        <v>0</v>
      </c>
      <c r="H11" s="124">
        <v>55.5</v>
      </c>
      <c r="I11" s="124">
        <v>111.277</v>
      </c>
      <c r="J11" s="124">
        <v>98.816999999999993</v>
      </c>
    </row>
    <row r="12" spans="2:10" s="74" customFormat="1" ht="18.95" customHeight="1">
      <c r="B12" s="114"/>
      <c r="C12" s="126" t="s">
        <v>44</v>
      </c>
      <c r="D12" s="125">
        <v>0</v>
      </c>
      <c r="E12" s="125">
        <v>0</v>
      </c>
      <c r="F12" s="125">
        <v>0</v>
      </c>
      <c r="G12" s="125">
        <f>640629/1000</f>
        <v>640.62900000000002</v>
      </c>
      <c r="H12" s="124">
        <v>10922.3</v>
      </c>
      <c r="I12" s="124">
        <v>15673.380570000001</v>
      </c>
      <c r="J12" s="124">
        <v>17818.143</v>
      </c>
    </row>
    <row r="13" spans="2:10" s="74" customFormat="1" ht="18.95" customHeight="1">
      <c r="B13" s="114"/>
      <c r="C13" s="131" t="s">
        <v>43</v>
      </c>
      <c r="D13" s="130">
        <v>0</v>
      </c>
      <c r="E13" s="130">
        <v>0</v>
      </c>
      <c r="F13" s="129">
        <f>SUM(F6:F12)</f>
        <v>258.17857000000004</v>
      </c>
      <c r="G13" s="129">
        <f>SUM(G6:G12)</f>
        <v>3367.9349999999999</v>
      </c>
      <c r="H13" s="128">
        <f>SUM(H5:H12)</f>
        <v>15373.3</v>
      </c>
      <c r="I13" s="128">
        <f>SUM(I5:I12)</f>
        <v>19973.76642</v>
      </c>
      <c r="J13" s="128">
        <f>SUM(J5:J12)</f>
        <v>20924.608629999999</v>
      </c>
    </row>
    <row r="14" spans="2:10" s="74" customFormat="1" ht="18.95" customHeight="1">
      <c r="B14" s="127"/>
      <c r="C14" s="126" t="s">
        <v>42</v>
      </c>
      <c r="D14" s="125">
        <v>10.055999999999999</v>
      </c>
      <c r="E14" s="125">
        <v>8.2880000000000003</v>
      </c>
      <c r="F14" s="125">
        <v>10.62393</v>
      </c>
      <c r="G14" s="125">
        <f>11114/1000</f>
        <v>11.114000000000001</v>
      </c>
      <c r="H14" s="124">
        <v>10.298999999999999</v>
      </c>
      <c r="I14" s="124">
        <v>10.331</v>
      </c>
      <c r="J14" s="124">
        <v>9.8960000000000008</v>
      </c>
    </row>
    <row r="15" spans="2:10" s="74" customFormat="1" ht="18.95" customHeight="1">
      <c r="C15" s="126" t="s">
        <v>16</v>
      </c>
      <c r="D15" s="125">
        <v>0</v>
      </c>
      <c r="E15" s="125">
        <v>0</v>
      </c>
      <c r="F15" s="125">
        <v>44.636000000000003</v>
      </c>
      <c r="G15" s="125">
        <f>228090/1000</f>
        <v>228.09</v>
      </c>
      <c r="H15" s="124">
        <v>377.26900000000001</v>
      </c>
      <c r="I15" s="124">
        <v>355.065</v>
      </c>
      <c r="J15" s="124">
        <v>295.85599999999999</v>
      </c>
    </row>
    <row r="16" spans="2:10" s="74" customFormat="1" ht="21" customHeight="1">
      <c r="B16" s="123" t="s">
        <v>41</v>
      </c>
      <c r="C16" s="123"/>
      <c r="D16" s="122">
        <v>10.055999999999999</v>
      </c>
      <c r="E16" s="122">
        <v>8.2880000000000003</v>
      </c>
      <c r="F16" s="122">
        <v>313.43849999999998</v>
      </c>
      <c r="G16" s="122">
        <f>SUM(G13:G15)</f>
        <v>3607.1390000000001</v>
      </c>
      <c r="H16" s="121">
        <f>SUM(H13:H15)</f>
        <v>15760.868</v>
      </c>
      <c r="I16" s="121">
        <f>SUM(I13:I15)</f>
        <v>20339.162419999997</v>
      </c>
      <c r="J16" s="121">
        <f>SUM(J13:J15)</f>
        <v>21230.360629999999</v>
      </c>
    </row>
    <row r="17" spans="2:15" s="74" customFormat="1" ht="5.0999999999999996" customHeight="1">
      <c r="B17" s="95"/>
      <c r="C17" s="95"/>
      <c r="D17" s="120"/>
      <c r="E17" s="120"/>
      <c r="F17" s="120"/>
      <c r="G17" s="120"/>
    </row>
    <row r="18" spans="2:15" s="74" customFormat="1" ht="15" customHeight="1">
      <c r="B18" s="112" t="s">
        <v>40</v>
      </c>
      <c r="C18" s="112"/>
      <c r="D18" s="113"/>
      <c r="E18" s="113"/>
      <c r="F18" s="113"/>
      <c r="G18" s="119"/>
    </row>
    <row r="19" spans="2:15" s="74" customFormat="1" ht="15" customHeight="1">
      <c r="B19" s="112" t="s">
        <v>39</v>
      </c>
      <c r="C19" s="112"/>
      <c r="D19" s="113"/>
      <c r="E19" s="113"/>
      <c r="F19" s="113"/>
      <c r="G19" s="113"/>
      <c r="I19" s="118"/>
      <c r="J19" s="118"/>
    </row>
    <row r="20" spans="2:15" s="74" customFormat="1" ht="15" customHeight="1">
      <c r="B20" s="112" t="s">
        <v>38</v>
      </c>
      <c r="C20" s="112"/>
      <c r="I20" s="117"/>
      <c r="J20" s="117"/>
      <c r="K20" s="116"/>
      <c r="L20" s="116"/>
      <c r="M20" s="116"/>
      <c r="N20" s="116"/>
    </row>
    <row r="21" spans="2:15" s="74" customFormat="1" ht="15" customHeight="1">
      <c r="B21" s="112" t="s">
        <v>37</v>
      </c>
      <c r="C21" s="112"/>
      <c r="M21" s="115"/>
      <c r="N21" s="115"/>
    </row>
    <row r="22" spans="2:15" s="74" customFormat="1">
      <c r="I22" s="114"/>
      <c r="J22" s="114"/>
      <c r="K22" s="96"/>
      <c r="L22" s="96"/>
      <c r="M22" s="96"/>
      <c r="N22" s="96"/>
      <c r="O22" s="56"/>
    </row>
    <row r="23" spans="2:15" s="74" customFormat="1">
      <c r="I23" s="112"/>
      <c r="J23" s="112"/>
      <c r="K23" s="113"/>
      <c r="L23" s="113"/>
      <c r="M23" s="113"/>
      <c r="N23" s="113"/>
    </row>
    <row r="24" spans="2:15" s="74" customFormat="1">
      <c r="I24" s="112"/>
      <c r="J24" s="112"/>
    </row>
    <row r="25" spans="2:15" s="74" customFormat="1">
      <c r="I25" s="112"/>
      <c r="J25" s="112"/>
    </row>
  </sheetData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I16"/>
  <sheetViews>
    <sheetView showGridLines="0" workbookViewId="0">
      <pane ySplit="4" topLeftCell="A5" activePane="bottomLeft" state="frozen"/>
      <selection activeCell="F29" sqref="F29"/>
      <selection pane="bottomLeft" activeCell="F29" sqref="F29"/>
    </sheetView>
  </sheetViews>
  <sheetFormatPr defaultRowHeight="14.25"/>
  <cols>
    <col min="1" max="1" width="5.7109375" style="71" customWidth="1"/>
    <col min="2" max="2" width="18.85546875" style="71" customWidth="1"/>
    <col min="3" max="7" width="12.28515625" style="71" customWidth="1"/>
    <col min="8" max="8" width="12.7109375" style="71" customWidth="1"/>
    <col min="9" max="9" width="12.42578125" style="71" bestFit="1" customWidth="1"/>
    <col min="10" max="16384" width="9.140625" style="71"/>
  </cols>
  <sheetData>
    <row r="1" spans="2:9" s="71" customFormat="1" ht="18" customHeight="1"/>
    <row r="2" spans="2:9" s="1" customFormat="1" ht="21" customHeight="1">
      <c r="B2" s="100" t="s">
        <v>62</v>
      </c>
      <c r="C2" s="141"/>
    </row>
    <row r="3" spans="2:9" s="71" customFormat="1" ht="5.0999999999999996" customHeight="1">
      <c r="F3" s="140"/>
      <c r="G3" s="140"/>
    </row>
    <row r="4" spans="2:9" s="1" customFormat="1" ht="21" customHeight="1">
      <c r="B4" s="123" t="s">
        <v>61</v>
      </c>
      <c r="C4" s="135">
        <v>2012</v>
      </c>
      <c r="D4" s="135">
        <v>2013</v>
      </c>
      <c r="E4" s="135">
        <v>2014</v>
      </c>
      <c r="F4" s="135">
        <v>2015</v>
      </c>
      <c r="G4" s="109">
        <v>2016</v>
      </c>
      <c r="H4" s="109">
        <v>2017</v>
      </c>
      <c r="I4" s="109">
        <v>2018</v>
      </c>
    </row>
    <row r="5" spans="2:9" s="1" customFormat="1" ht="18.95" customHeight="1">
      <c r="B5" s="138" t="s">
        <v>60</v>
      </c>
      <c r="C5" s="90">
        <v>4881.8779999999997</v>
      </c>
      <c r="D5" s="90">
        <v>3192.6979999999999</v>
      </c>
      <c r="E5" s="90">
        <v>1733.8489999999999</v>
      </c>
      <c r="F5" s="90">
        <f>1020361/1000</f>
        <v>1020.361</v>
      </c>
      <c r="G5" s="137">
        <v>1149.9110000000001</v>
      </c>
      <c r="H5" s="137">
        <v>2517.393</v>
      </c>
      <c r="I5" s="137">
        <v>4565.2299999999996</v>
      </c>
    </row>
    <row r="6" spans="2:9" s="1" customFormat="1" ht="18.95" customHeight="1">
      <c r="B6" s="138" t="s">
        <v>59</v>
      </c>
      <c r="C6" s="90">
        <v>4215.6000000000004</v>
      </c>
      <c r="D6" s="90">
        <v>1594.61</v>
      </c>
      <c r="E6" s="90">
        <v>0</v>
      </c>
      <c r="F6" s="90">
        <v>0</v>
      </c>
      <c r="G6" s="139">
        <v>0</v>
      </c>
      <c r="H6" s="139">
        <v>0</v>
      </c>
      <c r="I6" s="139">
        <v>1890.2941800000001</v>
      </c>
    </row>
    <row r="7" spans="2:9" s="1" customFormat="1" ht="18.95" customHeight="1">
      <c r="B7" s="138" t="s">
        <v>58</v>
      </c>
      <c r="C7" s="90">
        <v>1392.11</v>
      </c>
      <c r="D7" s="90">
        <v>363.36</v>
      </c>
      <c r="E7" s="90">
        <v>0</v>
      </c>
      <c r="F7" s="90">
        <v>0</v>
      </c>
      <c r="G7" s="139">
        <v>0</v>
      </c>
      <c r="H7" s="139">
        <v>0</v>
      </c>
      <c r="I7" s="139">
        <v>1420.6948200000002</v>
      </c>
    </row>
    <row r="8" spans="2:9" s="1" customFormat="1" ht="18.95" customHeight="1">
      <c r="B8" s="138" t="s">
        <v>57</v>
      </c>
      <c r="C8" s="90">
        <v>4292.491</v>
      </c>
      <c r="D8" s="90">
        <v>1014.442</v>
      </c>
      <c r="E8" s="90">
        <v>0</v>
      </c>
      <c r="F8" s="90">
        <v>0</v>
      </c>
      <c r="G8" s="137">
        <v>1E-3</v>
      </c>
      <c r="H8" s="137">
        <v>0</v>
      </c>
      <c r="I8" s="137">
        <v>2525.0329999999999</v>
      </c>
    </row>
    <row r="9" spans="2:9" s="1" customFormat="1" ht="18.95" customHeight="1">
      <c r="B9" s="138" t="s">
        <v>56</v>
      </c>
      <c r="C9" s="90">
        <v>4675.875</v>
      </c>
      <c r="D9" s="90">
        <v>2880.7159999999999</v>
      </c>
      <c r="E9" s="90">
        <v>3285.6990000000001</v>
      </c>
      <c r="F9" s="90">
        <f>8830849/1000</f>
        <v>8830.8490000000002</v>
      </c>
      <c r="G9" s="137">
        <v>7575.6670000000004</v>
      </c>
      <c r="H9" s="137">
        <v>5069.0630000000001</v>
      </c>
      <c r="I9" s="137">
        <v>3704.1640000000002</v>
      </c>
    </row>
    <row r="10" spans="2:9" s="1" customFormat="1" ht="18.95" customHeight="1">
      <c r="B10" s="138" t="s">
        <v>55</v>
      </c>
      <c r="C10" s="90">
        <v>1345.42</v>
      </c>
      <c r="D10" s="90">
        <v>4576.7860000000001</v>
      </c>
      <c r="E10" s="90">
        <v>3503.5839999999998</v>
      </c>
      <c r="F10" s="90">
        <f>821300/1000</f>
        <v>821.3</v>
      </c>
      <c r="G10" s="137">
        <v>1523.239</v>
      </c>
      <c r="H10" s="137">
        <v>1582.4469999999999</v>
      </c>
      <c r="I10" s="137">
        <v>7024.9489999999996</v>
      </c>
    </row>
    <row r="11" spans="2:9" s="1" customFormat="1" ht="18.95" customHeight="1">
      <c r="B11" s="138" t="s">
        <v>54</v>
      </c>
      <c r="C11" s="90">
        <v>9476.2999999999993</v>
      </c>
      <c r="D11" s="90">
        <v>11128</v>
      </c>
      <c r="E11" s="90">
        <v>11350</v>
      </c>
      <c r="F11" s="90">
        <f>11203000/1000</f>
        <v>11203</v>
      </c>
      <c r="G11" s="137">
        <v>10193</v>
      </c>
      <c r="H11" s="137">
        <v>9077</v>
      </c>
      <c r="I11" s="137">
        <v>12363</v>
      </c>
    </row>
    <row r="12" spans="2:9" s="1" customFormat="1" ht="18.95" customHeight="1">
      <c r="B12" s="138" t="s">
        <v>53</v>
      </c>
      <c r="C12" s="90">
        <v>6495.1</v>
      </c>
      <c r="D12" s="90">
        <v>10994.6</v>
      </c>
      <c r="E12" s="90">
        <v>10116</v>
      </c>
      <c r="F12" s="90">
        <f>9022100/1000</f>
        <v>9022.1</v>
      </c>
      <c r="G12" s="137">
        <v>12405</v>
      </c>
      <c r="H12" s="137">
        <v>8180</v>
      </c>
      <c r="I12" s="137">
        <v>9321</v>
      </c>
    </row>
    <row r="13" spans="2:9" s="1" customFormat="1" ht="21" customHeight="1">
      <c r="B13" s="123" t="s">
        <v>27</v>
      </c>
      <c r="C13" s="122">
        <v>36774.773999999998</v>
      </c>
      <c r="D13" s="122">
        <v>35745.212</v>
      </c>
      <c r="E13" s="122">
        <v>29989.132000000001</v>
      </c>
      <c r="F13" s="122">
        <f>SUM(F5:F12)</f>
        <v>30897.61</v>
      </c>
      <c r="G13" s="121">
        <f>SUM(G5:G12)</f>
        <v>32846.817999999999</v>
      </c>
      <c r="H13" s="121">
        <f>SUM(H5:H12)</f>
        <v>26425.902999999998</v>
      </c>
      <c r="I13" s="121">
        <f>SUM(I5:I12)</f>
        <v>42814.364999999998</v>
      </c>
    </row>
    <row r="14" spans="2:9" s="71" customFormat="1" ht="5.0999999999999996" customHeight="1">
      <c r="B14" s="95"/>
      <c r="C14" s="95"/>
      <c r="D14" s="120"/>
      <c r="E14" s="120"/>
      <c r="F14" s="120"/>
      <c r="G14" s="120"/>
    </row>
    <row r="15" spans="2:9" s="71" customFormat="1" ht="15" customHeight="1">
      <c r="B15" s="101" t="s">
        <v>40</v>
      </c>
      <c r="C15" s="101"/>
    </row>
    <row r="16" spans="2:9" s="71" customFormat="1" ht="18" customHeight="1">
      <c r="H16" s="136"/>
      <c r="I16" s="136"/>
    </row>
  </sheetData>
  <pageMargins left="0.7" right="0.7" top="0.75" bottom="0.75" header="0.3" footer="0.3"/>
  <pageSetup orientation="portrait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E1</vt:lpstr>
      <vt:lpstr>E2</vt:lpstr>
      <vt:lpstr>E3</vt:lpstr>
      <vt:lpstr>E4</vt:lpstr>
      <vt:lpstr>E5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Tausulu Vaai-Reupena</dc:creator>
  <cp:lastModifiedBy>Tausulu Vaai-Reupena</cp:lastModifiedBy>
  <dcterms:created xsi:type="dcterms:W3CDTF">2019-09-26T02:38:21Z</dcterms:created>
  <dcterms:modified xsi:type="dcterms:W3CDTF">2019-09-26T02:38:42Z</dcterms:modified>
</cp:coreProperties>
</file>